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4297350a2c8f49/Desktop/Financial Reports/Financial Reports 2023/"/>
    </mc:Choice>
  </mc:AlternateContent>
  <xr:revisionPtr revIDLastSave="516" documentId="8_{001A47F9-29B7-4CC9-86A5-AA349197917A}" xr6:coauthVersionLast="47" xr6:coauthVersionMax="47" xr10:uidLastSave="{EBC42BAA-B0EC-4380-A0F8-344C5F66C757}"/>
  <bookViews>
    <workbookView xWindow="-120" yWindow="-120" windowWidth="20730" windowHeight="11040" activeTab="1" xr2:uid="{00000000-000D-0000-FFFF-FFFF00000000}"/>
  </bookViews>
  <sheets>
    <sheet name="Monthly Report" sheetId="1" r:id="rId1"/>
    <sheet name="Year to Date" sheetId="2" r:id="rId2"/>
    <sheet name="Balance Shee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9" i="1" l="1"/>
  <c r="B209" i="2"/>
  <c r="F204" i="2"/>
  <c r="E204" i="2"/>
  <c r="G204" i="2" s="1"/>
  <c r="D204" i="2"/>
  <c r="D18" i="2"/>
  <c r="E18" i="2"/>
  <c r="G18" i="2"/>
  <c r="F18" i="2"/>
  <c r="D64" i="2"/>
  <c r="E64" i="2"/>
  <c r="G64" i="2"/>
  <c r="F64" i="2"/>
  <c r="B152" i="2"/>
  <c r="D29" i="2"/>
  <c r="E29" i="2"/>
  <c r="G29" i="2"/>
  <c r="F29" i="2"/>
  <c r="D23" i="2"/>
  <c r="E23" i="2"/>
  <c r="G23" i="2"/>
  <c r="F23" i="2"/>
  <c r="D142" i="2"/>
  <c r="E142" i="2"/>
  <c r="F142" i="2"/>
  <c r="G142" i="2"/>
  <c r="C143" i="2"/>
  <c r="C144" i="2"/>
  <c r="E144" i="2" s="1"/>
  <c r="D59" i="2"/>
  <c r="E59" i="2"/>
  <c r="G59" i="2"/>
  <c r="F59" i="2"/>
  <c r="D144" i="2" l="1"/>
  <c r="F144" i="2"/>
  <c r="G144" i="2"/>
  <c r="E143" i="2"/>
  <c r="G143" i="2" s="1"/>
  <c r="F143" i="2"/>
  <c r="D143" i="2"/>
  <c r="B87" i="5"/>
  <c r="B86" i="5"/>
  <c r="B84" i="5"/>
  <c r="B83" i="5"/>
  <c r="B85" i="5" s="1"/>
  <c r="B89" i="5" s="1"/>
  <c r="B82" i="5"/>
  <c r="B81" i="5"/>
  <c r="B80" i="5"/>
  <c r="B79" i="5"/>
  <c r="B78" i="5"/>
  <c r="B77" i="5"/>
  <c r="B70" i="5"/>
  <c r="B60" i="5"/>
  <c r="B71" i="5" s="1"/>
  <c r="B56" i="5"/>
  <c r="B53" i="5"/>
  <c r="B52" i="5"/>
  <c r="B49" i="5"/>
  <c r="B44" i="5"/>
  <c r="B43" i="5"/>
  <c r="B58" i="5"/>
  <c r="B40" i="5"/>
  <c r="B39" i="5"/>
  <c r="B41" i="5" s="1"/>
  <c r="B38" i="5"/>
  <c r="B25" i="5"/>
  <c r="B24" i="5"/>
  <c r="B23" i="5"/>
  <c r="B26" i="5"/>
  <c r="B27" i="5" s="1"/>
  <c r="B18" i="5"/>
  <c r="B17" i="5"/>
  <c r="B15" i="5"/>
  <c r="B10" i="5"/>
  <c r="B12" i="5" s="1"/>
  <c r="B19" i="5" s="1"/>
  <c r="B20" i="5" s="1"/>
  <c r="B59" i="5" l="1"/>
  <c r="B72" i="5" s="1"/>
  <c r="B73" i="5" s="1"/>
  <c r="B74" i="5" s="1"/>
  <c r="B90" i="5" s="1"/>
  <c r="B28" i="5"/>
  <c r="C218" i="2"/>
  <c r="F218" i="2" s="1"/>
  <c r="G217" i="2"/>
  <c r="F217" i="2"/>
  <c r="D217" i="2"/>
  <c r="G216" i="2"/>
  <c r="F216" i="2"/>
  <c r="D216" i="2"/>
  <c r="G215" i="2"/>
  <c r="F215" i="2"/>
  <c r="E215" i="2"/>
  <c r="B213" i="2"/>
  <c r="C212" i="2"/>
  <c r="C213" i="2" s="1"/>
  <c r="G211" i="2"/>
  <c r="F211" i="2"/>
  <c r="E211" i="2"/>
  <c r="D211" i="2"/>
  <c r="C210" i="2"/>
  <c r="F210" i="2" s="1"/>
  <c r="C208" i="2"/>
  <c r="F208" i="2" s="1"/>
  <c r="C207" i="2"/>
  <c r="F207" i="2" s="1"/>
  <c r="C206" i="2"/>
  <c r="C205" i="2"/>
  <c r="E205" i="2" s="1"/>
  <c r="G202" i="2"/>
  <c r="F202" i="2"/>
  <c r="E202" i="2"/>
  <c r="D202" i="2"/>
  <c r="C200" i="2"/>
  <c r="B201" i="2"/>
  <c r="G199" i="2"/>
  <c r="F199" i="2"/>
  <c r="E199" i="2"/>
  <c r="D199" i="2"/>
  <c r="G198" i="2"/>
  <c r="F198" i="2"/>
  <c r="E198" i="2"/>
  <c r="D198" i="2"/>
  <c r="C196" i="2"/>
  <c r="E196" i="2" s="1"/>
  <c r="C194" i="2"/>
  <c r="C191" i="2"/>
  <c r="C190" i="2"/>
  <c r="G188" i="2"/>
  <c r="F188" i="2"/>
  <c r="E188" i="2"/>
  <c r="D188" i="2"/>
  <c r="C186" i="2"/>
  <c r="C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B180" i="2"/>
  <c r="C178" i="2"/>
  <c r="F178" i="2" s="1"/>
  <c r="C177" i="2"/>
  <c r="G176" i="2"/>
  <c r="F176" i="2"/>
  <c r="E176" i="2"/>
  <c r="D176" i="2"/>
  <c r="C172" i="2"/>
  <c r="F172" i="2" s="1"/>
  <c r="C171" i="2"/>
  <c r="B173" i="2"/>
  <c r="G170" i="2"/>
  <c r="F170" i="2"/>
  <c r="E170" i="2"/>
  <c r="D170" i="2"/>
  <c r="C168" i="2"/>
  <c r="C167" i="2"/>
  <c r="F167" i="2" s="1"/>
  <c r="G166" i="2"/>
  <c r="F166" i="2"/>
  <c r="E166" i="2"/>
  <c r="D166" i="2"/>
  <c r="G165" i="2"/>
  <c r="F165" i="2"/>
  <c r="E165" i="2"/>
  <c r="D165" i="2"/>
  <c r="G164" i="2"/>
  <c r="F164" i="2"/>
  <c r="E164" i="2"/>
  <c r="D164" i="2"/>
  <c r="C161" i="2"/>
  <c r="C162" i="2" s="1"/>
  <c r="G160" i="2"/>
  <c r="F160" i="2"/>
  <c r="B160" i="2"/>
  <c r="B162" i="2" s="1"/>
  <c r="C158" i="2"/>
  <c r="E158" i="2" s="1"/>
  <c r="C155" i="2"/>
  <c r="F155" i="2" s="1"/>
  <c r="C154" i="2"/>
  <c r="G153" i="2"/>
  <c r="F153" i="2"/>
  <c r="E153" i="2"/>
  <c r="D153" i="2"/>
  <c r="C151" i="2"/>
  <c r="C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B141" i="2"/>
  <c r="C140" i="2"/>
  <c r="D140" i="2" s="1"/>
  <c r="G139" i="2"/>
  <c r="F139" i="2"/>
  <c r="E139" i="2"/>
  <c r="D139" i="2"/>
  <c r="C137" i="2"/>
  <c r="C136" i="2"/>
  <c r="G135" i="2"/>
  <c r="F135" i="2"/>
  <c r="E135" i="2"/>
  <c r="D135" i="2"/>
  <c r="G134" i="2"/>
  <c r="F134" i="2"/>
  <c r="E134" i="2"/>
  <c r="D134" i="2"/>
  <c r="C73" i="2"/>
  <c r="E73" i="2" s="1"/>
  <c r="C71" i="2"/>
  <c r="G70" i="2"/>
  <c r="F70" i="2"/>
  <c r="D70" i="2"/>
  <c r="C69" i="2"/>
  <c r="D69" i="2" s="1"/>
  <c r="G68" i="2"/>
  <c r="F68" i="2"/>
  <c r="E68" i="2"/>
  <c r="D68" i="2"/>
  <c r="G66" i="2"/>
  <c r="F66" i="2"/>
  <c r="E66" i="2"/>
  <c r="G65" i="2"/>
  <c r="F65" i="2"/>
  <c r="D65" i="2"/>
  <c r="G63" i="2"/>
  <c r="F63" i="2"/>
  <c r="E63" i="2"/>
  <c r="D63" i="2"/>
  <c r="G62" i="2"/>
  <c r="F62" i="2"/>
  <c r="E62" i="2"/>
  <c r="G61" i="2"/>
  <c r="F61" i="2"/>
  <c r="D61" i="2"/>
  <c r="G60" i="2"/>
  <c r="F60" i="2"/>
  <c r="E60" i="2"/>
  <c r="D60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G52" i="2"/>
  <c r="F52" i="2"/>
  <c r="D52" i="2"/>
  <c r="G51" i="2"/>
  <c r="F51" i="2"/>
  <c r="E51" i="2"/>
  <c r="D51" i="2"/>
  <c r="G50" i="2"/>
  <c r="F50" i="2"/>
  <c r="E50" i="2"/>
  <c r="D50" i="2"/>
  <c r="G49" i="2"/>
  <c r="F49" i="2"/>
  <c r="D49" i="2"/>
  <c r="G48" i="2"/>
  <c r="F48" i="2"/>
  <c r="E48" i="2"/>
  <c r="D48" i="2"/>
  <c r="G47" i="2"/>
  <c r="F47" i="2"/>
  <c r="D47" i="2"/>
  <c r="G46" i="2"/>
  <c r="F46" i="2"/>
  <c r="E46" i="2"/>
  <c r="G45" i="2"/>
  <c r="F45" i="2"/>
  <c r="E45" i="2"/>
  <c r="G44" i="2"/>
  <c r="F44" i="2"/>
  <c r="E44" i="2"/>
  <c r="D44" i="2"/>
  <c r="G41" i="2"/>
  <c r="F41" i="2"/>
  <c r="E41" i="2"/>
  <c r="C40" i="2"/>
  <c r="G40" i="2" s="1"/>
  <c r="B40" i="2"/>
  <c r="G39" i="2"/>
  <c r="F39" i="2"/>
  <c r="E39" i="2"/>
  <c r="G38" i="2"/>
  <c r="F38" i="2"/>
  <c r="E38" i="2"/>
  <c r="D38" i="2"/>
  <c r="G37" i="2"/>
  <c r="F37" i="2"/>
  <c r="E37" i="2"/>
  <c r="D37" i="2"/>
  <c r="G36" i="2"/>
  <c r="F36" i="2"/>
  <c r="E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G30" i="2"/>
  <c r="F30" i="2"/>
  <c r="E30" i="2"/>
  <c r="D30" i="2"/>
  <c r="G28" i="2"/>
  <c r="F28" i="2"/>
  <c r="E28" i="2"/>
  <c r="D28" i="2"/>
  <c r="G27" i="2"/>
  <c r="F27" i="2"/>
  <c r="E27" i="2"/>
  <c r="G26" i="2"/>
  <c r="F26" i="2"/>
  <c r="E26" i="2"/>
  <c r="D26" i="2"/>
  <c r="G25" i="2"/>
  <c r="F25" i="2"/>
  <c r="E25" i="2"/>
  <c r="G24" i="2"/>
  <c r="F24" i="2"/>
  <c r="B24" i="2"/>
  <c r="E24" i="2" s="1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D19" i="2"/>
  <c r="G17" i="2"/>
  <c r="F17" i="2"/>
  <c r="E17" i="2"/>
  <c r="D17" i="2"/>
  <c r="G16" i="2"/>
  <c r="F16" i="2"/>
  <c r="E16" i="2"/>
  <c r="D16" i="2"/>
  <c r="G15" i="2"/>
  <c r="F15" i="2"/>
  <c r="E15" i="2"/>
  <c r="G14" i="2"/>
  <c r="F14" i="2"/>
  <c r="E14" i="2"/>
  <c r="D14" i="2"/>
  <c r="G13" i="2"/>
  <c r="F13" i="2"/>
  <c r="E13" i="2"/>
  <c r="G12" i="2"/>
  <c r="F12" i="2"/>
  <c r="E12" i="2"/>
  <c r="D12" i="2"/>
  <c r="G11" i="2"/>
  <c r="F11" i="2"/>
  <c r="E11" i="2"/>
  <c r="D11" i="2"/>
  <c r="G10" i="2"/>
  <c r="F10" i="2"/>
  <c r="B10" i="2"/>
  <c r="G9" i="2"/>
  <c r="F9" i="2"/>
  <c r="E9" i="2"/>
  <c r="D9" i="2"/>
  <c r="G8" i="2"/>
  <c r="F8" i="2"/>
  <c r="E8" i="2"/>
  <c r="D8" i="2"/>
  <c r="C7" i="2"/>
  <c r="B166" i="1"/>
  <c r="B165" i="1"/>
  <c r="B164" i="1"/>
  <c r="B158" i="1"/>
  <c r="B161" i="1" s="1"/>
  <c r="B156" i="1"/>
  <c r="B155" i="1"/>
  <c r="B154" i="1"/>
  <c r="B147" i="1"/>
  <c r="B145" i="1"/>
  <c r="B143" i="1"/>
  <c r="B142" i="1"/>
  <c r="B141" i="1"/>
  <c r="B140" i="1"/>
  <c r="B139" i="1"/>
  <c r="B137" i="1"/>
  <c r="B132" i="1"/>
  <c r="B131" i="1"/>
  <c r="B129" i="1"/>
  <c r="B128" i="1"/>
  <c r="B127" i="1"/>
  <c r="B126" i="1"/>
  <c r="B125" i="1"/>
  <c r="B121" i="1"/>
  <c r="B116" i="1"/>
  <c r="B115" i="1"/>
  <c r="B113" i="1"/>
  <c r="B112" i="1"/>
  <c r="B111" i="1"/>
  <c r="B110" i="1"/>
  <c r="B109" i="1"/>
  <c r="B106" i="1"/>
  <c r="B105" i="1"/>
  <c r="B104" i="1"/>
  <c r="B98" i="1"/>
  <c r="B97" i="1"/>
  <c r="B69" i="1"/>
  <c r="B65" i="1"/>
  <c r="B57" i="1"/>
  <c r="B54" i="1"/>
  <c r="B47" i="1"/>
  <c r="B45" i="1"/>
  <c r="B38" i="1"/>
  <c r="B34" i="1"/>
  <c r="B31" i="1"/>
  <c r="B28" i="1"/>
  <c r="B26" i="1"/>
  <c r="B19" i="1"/>
  <c r="B64" i="1" l="1"/>
  <c r="B70" i="1" s="1"/>
  <c r="B67" i="2"/>
  <c r="B74" i="2" s="1"/>
  <c r="B75" i="2" s="1"/>
  <c r="B157" i="1"/>
  <c r="B107" i="1"/>
  <c r="B103" i="1"/>
  <c r="B118" i="1"/>
  <c r="B119" i="1" s="1"/>
  <c r="B149" i="1"/>
  <c r="B150" i="1" s="1"/>
  <c r="B123" i="1"/>
  <c r="B134" i="1"/>
  <c r="B135" i="1" s="1"/>
  <c r="B114" i="1"/>
  <c r="B100" i="1"/>
  <c r="B144" i="1"/>
  <c r="B130" i="1"/>
  <c r="B167" i="1"/>
  <c r="E19" i="2"/>
  <c r="E137" i="2"/>
  <c r="G137" i="2" s="1"/>
  <c r="E155" i="2"/>
  <c r="G155" i="2" s="1"/>
  <c r="B187" i="2"/>
  <c r="B192" i="2"/>
  <c r="B193" i="2" s="1"/>
  <c r="D207" i="2"/>
  <c r="F73" i="2"/>
  <c r="D136" i="2"/>
  <c r="F196" i="2"/>
  <c r="D208" i="2"/>
  <c r="E216" i="2"/>
  <c r="F205" i="2"/>
  <c r="D66" i="2"/>
  <c r="E70" i="2"/>
  <c r="E140" i="2"/>
  <c r="G140" i="2" s="1"/>
  <c r="C152" i="2"/>
  <c r="E152" i="2" s="1"/>
  <c r="F154" i="2"/>
  <c r="F158" i="2"/>
  <c r="E200" i="2"/>
  <c r="G200" i="2" s="1"/>
  <c r="C201" i="2"/>
  <c r="F201" i="2" s="1"/>
  <c r="D213" i="2"/>
  <c r="F140" i="2"/>
  <c r="B145" i="2"/>
  <c r="D151" i="2"/>
  <c r="D155" i="2"/>
  <c r="C169" i="2"/>
  <c r="C192" i="2"/>
  <c r="C193" i="2" s="1"/>
  <c r="E208" i="2"/>
  <c r="G208" i="2" s="1"/>
  <c r="B169" i="2"/>
  <c r="D210" i="2"/>
  <c r="D15" i="2"/>
  <c r="D27" i="2"/>
  <c r="D41" i="2"/>
  <c r="E49" i="2"/>
  <c r="D154" i="2"/>
  <c r="D161" i="2"/>
  <c r="D172" i="2"/>
  <c r="D178" i="2"/>
  <c r="E185" i="2"/>
  <c r="G185" i="2" s="1"/>
  <c r="D215" i="2"/>
  <c r="E217" i="2"/>
  <c r="F137" i="2"/>
  <c r="C156" i="2"/>
  <c r="C157" i="2" s="1"/>
  <c r="D167" i="2"/>
  <c r="F185" i="2"/>
  <c r="E47" i="2"/>
  <c r="E69" i="2"/>
  <c r="G69" i="2" s="1"/>
  <c r="B138" i="2"/>
  <c r="C141" i="2"/>
  <c r="F141" i="2" s="1"/>
  <c r="C145" i="2"/>
  <c r="E154" i="2"/>
  <c r="G154" i="2" s="1"/>
  <c r="E161" i="2"/>
  <c r="G161" i="2" s="1"/>
  <c r="E167" i="2"/>
  <c r="G167" i="2" s="1"/>
  <c r="F186" i="2"/>
  <c r="C138" i="2"/>
  <c r="E151" i="2"/>
  <c r="G151" i="2" s="1"/>
  <c r="F191" i="2"/>
  <c r="B218" i="2"/>
  <c r="D218" i="2" s="1"/>
  <c r="E7" i="2"/>
  <c r="G7" i="2" s="1"/>
  <c r="E40" i="2"/>
  <c r="E65" i="2"/>
  <c r="G218" i="2"/>
  <c r="B214" i="2"/>
  <c r="F162" i="2"/>
  <c r="E162" i="2"/>
  <c r="G162" i="2" s="1"/>
  <c r="D162" i="2"/>
  <c r="B174" i="2"/>
  <c r="F213" i="2"/>
  <c r="E213" i="2"/>
  <c r="G213" i="2" s="1"/>
  <c r="F69" i="2"/>
  <c r="D71" i="2"/>
  <c r="G73" i="2"/>
  <c r="E136" i="2"/>
  <c r="G136" i="2" s="1"/>
  <c r="D150" i="2"/>
  <c r="F151" i="2"/>
  <c r="B156" i="2"/>
  <c r="G158" i="2"/>
  <c r="D160" i="2"/>
  <c r="F161" i="2"/>
  <c r="E172" i="2"/>
  <c r="G172" i="2" s="1"/>
  <c r="E178" i="2"/>
  <c r="G178" i="2" s="1"/>
  <c r="C187" i="2"/>
  <c r="G196" i="2"/>
  <c r="D203" i="2"/>
  <c r="G205" i="2"/>
  <c r="E207" i="2"/>
  <c r="G207" i="2" s="1"/>
  <c r="E210" i="2"/>
  <c r="G210" i="2" s="1"/>
  <c r="D212" i="2"/>
  <c r="F136" i="2"/>
  <c r="D191" i="2"/>
  <c r="D200" i="2"/>
  <c r="E203" i="2"/>
  <c r="G203" i="2" s="1"/>
  <c r="C209" i="2"/>
  <c r="E212" i="2"/>
  <c r="G212" i="2" s="1"/>
  <c r="E150" i="2"/>
  <c r="G150" i="2" s="1"/>
  <c r="E160" i="2"/>
  <c r="F71" i="2"/>
  <c r="F150" i="2"/>
  <c r="D168" i="2"/>
  <c r="D171" i="2"/>
  <c r="D177" i="2"/>
  <c r="E191" i="2"/>
  <c r="G191" i="2" s="1"/>
  <c r="D194" i="2"/>
  <c r="F203" i="2"/>
  <c r="D206" i="2"/>
  <c r="F212" i="2"/>
  <c r="E71" i="2"/>
  <c r="G71" i="2" s="1"/>
  <c r="E168" i="2"/>
  <c r="G168" i="2" s="1"/>
  <c r="E171" i="2"/>
  <c r="G171" i="2" s="1"/>
  <c r="E177" i="2"/>
  <c r="G177" i="2" s="1"/>
  <c r="D186" i="2"/>
  <c r="D190" i="2"/>
  <c r="E194" i="2"/>
  <c r="G194" i="2" s="1"/>
  <c r="F200" i="2"/>
  <c r="E206" i="2"/>
  <c r="G206" i="2" s="1"/>
  <c r="F168" i="2"/>
  <c r="F171" i="2"/>
  <c r="C173" i="2"/>
  <c r="F177" i="2"/>
  <c r="C180" i="2"/>
  <c r="E186" i="2"/>
  <c r="G186" i="2" s="1"/>
  <c r="E190" i="2"/>
  <c r="G190" i="2" s="1"/>
  <c r="F194" i="2"/>
  <c r="F206" i="2"/>
  <c r="D158" i="2"/>
  <c r="D185" i="2"/>
  <c r="F190" i="2"/>
  <c r="D196" i="2"/>
  <c r="D205" i="2"/>
  <c r="D73" i="2"/>
  <c r="D137" i="2"/>
  <c r="D31" i="2"/>
  <c r="D45" i="2"/>
  <c r="E10" i="2"/>
  <c r="D25" i="2"/>
  <c r="E52" i="2"/>
  <c r="D62" i="2"/>
  <c r="D7" i="2"/>
  <c r="D40" i="2"/>
  <c r="C67" i="2"/>
  <c r="C74" i="2" s="1"/>
  <c r="D10" i="2"/>
  <c r="F7" i="2"/>
  <c r="D24" i="2"/>
  <c r="D39" i="2"/>
  <c r="F40" i="2"/>
  <c r="D13" i="2"/>
  <c r="D36" i="2"/>
  <c r="D46" i="2"/>
  <c r="D53" i="2"/>
  <c r="E61" i="2"/>
  <c r="B71" i="1" l="1"/>
  <c r="B163" i="1"/>
  <c r="B108" i="1"/>
  <c r="B136" i="1"/>
  <c r="B138" i="1" s="1"/>
  <c r="B120" i="1"/>
  <c r="B124" i="1" s="1"/>
  <c r="B151" i="1"/>
  <c r="B153" i="1" s="1"/>
  <c r="D201" i="2"/>
  <c r="D169" i="2"/>
  <c r="F145" i="2"/>
  <c r="C214" i="2"/>
  <c r="E214" i="2" s="1"/>
  <c r="G214" i="2" s="1"/>
  <c r="D141" i="2"/>
  <c r="E201" i="2"/>
  <c r="G201" i="2" s="1"/>
  <c r="D187" i="2"/>
  <c r="E141" i="2"/>
  <c r="G141" i="2" s="1"/>
  <c r="D192" i="2"/>
  <c r="C146" i="2"/>
  <c r="E138" i="2"/>
  <c r="G138" i="2" s="1"/>
  <c r="G152" i="2"/>
  <c r="F152" i="2"/>
  <c r="E169" i="2"/>
  <c r="G169" i="2" s="1"/>
  <c r="E218" i="2"/>
  <c r="B146" i="2"/>
  <c r="F169" i="2"/>
  <c r="E192" i="2"/>
  <c r="G192" i="2" s="1"/>
  <c r="F192" i="2"/>
  <c r="E145" i="2"/>
  <c r="G145" i="2" s="1"/>
  <c r="C159" i="2"/>
  <c r="C163" i="2" s="1"/>
  <c r="D152" i="2"/>
  <c r="E156" i="2"/>
  <c r="G156" i="2" s="1"/>
  <c r="F138" i="2"/>
  <c r="D209" i="2"/>
  <c r="D138" i="2"/>
  <c r="D145" i="2"/>
  <c r="D193" i="2"/>
  <c r="F193" i="2"/>
  <c r="B195" i="2"/>
  <c r="E180" i="2"/>
  <c r="G180" i="2" s="1"/>
  <c r="D180" i="2"/>
  <c r="F180" i="2"/>
  <c r="E173" i="2"/>
  <c r="G173" i="2" s="1"/>
  <c r="C174" i="2"/>
  <c r="F173" i="2"/>
  <c r="B175" i="2"/>
  <c r="B181" i="2" s="1"/>
  <c r="D173" i="2"/>
  <c r="F74" i="2"/>
  <c r="E74" i="2"/>
  <c r="G74" i="2" s="1"/>
  <c r="C75" i="2"/>
  <c r="F209" i="2"/>
  <c r="E209" i="2"/>
  <c r="G209" i="2" s="1"/>
  <c r="F187" i="2"/>
  <c r="E187" i="2"/>
  <c r="G187" i="2" s="1"/>
  <c r="C195" i="2"/>
  <c r="B157" i="2"/>
  <c r="F156" i="2"/>
  <c r="D156" i="2"/>
  <c r="E193" i="2"/>
  <c r="G193" i="2" s="1"/>
  <c r="D74" i="2"/>
  <c r="F67" i="2"/>
  <c r="E67" i="2"/>
  <c r="G67" i="2" s="1"/>
  <c r="D67" i="2"/>
  <c r="B168" i="1" l="1"/>
  <c r="B169" i="1" s="1"/>
  <c r="B170" i="1" s="1"/>
  <c r="F214" i="2"/>
  <c r="D214" i="2"/>
  <c r="D146" i="2"/>
  <c r="F146" i="2"/>
  <c r="E146" i="2"/>
  <c r="G146" i="2" s="1"/>
  <c r="D157" i="2"/>
  <c r="B159" i="2"/>
  <c r="E157" i="2"/>
  <c r="G157" i="2" s="1"/>
  <c r="F157" i="2"/>
  <c r="C197" i="2"/>
  <c r="F195" i="2"/>
  <c r="E195" i="2"/>
  <c r="G195" i="2" s="1"/>
  <c r="B197" i="2"/>
  <c r="D195" i="2"/>
  <c r="F174" i="2"/>
  <c r="E174" i="2"/>
  <c r="G174" i="2" s="1"/>
  <c r="C175" i="2"/>
  <c r="D175" i="2" s="1"/>
  <c r="F75" i="2"/>
  <c r="E75" i="2"/>
  <c r="G75" i="2" s="1"/>
  <c r="D75" i="2"/>
  <c r="D174" i="2"/>
  <c r="D197" i="2" l="1"/>
  <c r="F175" i="2"/>
  <c r="C181" i="2"/>
  <c r="D181" i="2" s="1"/>
  <c r="E175" i="2"/>
  <c r="G175" i="2" s="1"/>
  <c r="F197" i="2"/>
  <c r="E197" i="2"/>
  <c r="G197" i="2" s="1"/>
  <c r="D159" i="2"/>
  <c r="B163" i="2"/>
  <c r="E159" i="2"/>
  <c r="G159" i="2" s="1"/>
  <c r="F159" i="2"/>
  <c r="F181" i="2" l="1"/>
  <c r="E181" i="2"/>
  <c r="G181" i="2" s="1"/>
  <c r="C219" i="2"/>
  <c r="D163" i="2"/>
  <c r="B219" i="2"/>
  <c r="F163" i="2"/>
  <c r="E163" i="2"/>
  <c r="G163" i="2" s="1"/>
  <c r="D219" i="2" l="1"/>
  <c r="B220" i="2"/>
  <c r="F219" i="2"/>
  <c r="E219" i="2"/>
  <c r="G219" i="2" s="1"/>
  <c r="C220" i="2"/>
  <c r="E220" i="2" l="1"/>
  <c r="G220" i="2" s="1"/>
  <c r="C221" i="2"/>
  <c r="F220" i="2"/>
  <c r="D220" i="2"/>
  <c r="B221" i="2"/>
  <c r="D221" i="2" l="1"/>
  <c r="F221" i="2"/>
  <c r="E221" i="2"/>
  <c r="G221" i="2" s="1"/>
</calcChain>
</file>

<file path=xl/sharedStrings.xml><?xml version="1.0" encoding="utf-8"?>
<sst xmlns="http://schemas.openxmlformats.org/spreadsheetml/2006/main" count="404" uniqueCount="265">
  <si>
    <t>Total</t>
  </si>
  <si>
    <t>Revenue</t>
  </si>
  <si>
    <t xml:space="preserve">   40 Income from Churches</t>
  </si>
  <si>
    <t xml:space="preserve">      40004 Anchor Baptist Church</t>
  </si>
  <si>
    <t xml:space="preserve">      40006 Assembly of Saints</t>
  </si>
  <si>
    <t xml:space="preserve">      40015 Broadway Baptist Church</t>
  </si>
  <si>
    <t xml:space="preserve">      40020 Brookside Baptist Church</t>
  </si>
  <si>
    <t xml:space="preserve">      40035 Cane Run Baptist Church</t>
  </si>
  <si>
    <t xml:space="preserve">      40040 Center Point Church</t>
  </si>
  <si>
    <t xml:space="preserve">      40060 Clear Creek Baptist Church</t>
  </si>
  <si>
    <t xml:space="preserve">      40068 Cornerstone Baptist Church, Nic</t>
  </si>
  <si>
    <t xml:space="preserve">      40070 Crosswoods Baptist Church</t>
  </si>
  <si>
    <t xml:space="preserve">      40090 East Hickman Baptist Church</t>
  </si>
  <si>
    <t xml:space="preserve">      40095 Edgewood Baptist Church</t>
  </si>
  <si>
    <t xml:space="preserve">      40120 First Baptist Church, Mt. Ster.</t>
  </si>
  <si>
    <t xml:space="preserve">      40130 First Baptist Church, Win.</t>
  </si>
  <si>
    <t xml:space="preserve">      40153 Gospel Collective Church</t>
  </si>
  <si>
    <t xml:space="preserve">      40155 Grace Baptist Church</t>
  </si>
  <si>
    <t xml:space="preserve">      40160 Great Crossing Baptist Church</t>
  </si>
  <si>
    <t xml:space="preserve">      40165 Highlands Baptist Church</t>
  </si>
  <si>
    <t xml:space="preserve">      40170 Hillcrest Baptist Church</t>
  </si>
  <si>
    <t xml:space="preserve">      40180 Immanuel Baptist Church</t>
  </si>
  <si>
    <t xml:space="preserve">         40180A Immanuel @ Armstrong Mill</t>
  </si>
  <si>
    <t xml:space="preserve">         40180B Immanuel @ Georgetown</t>
  </si>
  <si>
    <t xml:space="preserve">      Total 40180 Immanuel Baptist Church</t>
  </si>
  <si>
    <t xml:space="preserve">      40187 Lexington Baptist Temple/Gracew</t>
  </si>
  <si>
    <t xml:space="preserve">      40205 Mallard Point Baptist Church</t>
  </si>
  <si>
    <t xml:space="preserve">      40212 Means Baptist Church</t>
  </si>
  <si>
    <t xml:space="preserve">      40225 Millville Baptist Church</t>
  </si>
  <si>
    <t xml:space="preserve">      40230 The Mission Church of Lexington</t>
  </si>
  <si>
    <t xml:space="preserve">      40235 Mt. Freedom Baptist Church</t>
  </si>
  <si>
    <t xml:space="preserve">      40240 Mt. Pleasant Baptist Church</t>
  </si>
  <si>
    <t xml:space="preserve">      40245 Mt. Vernon Baptist Church</t>
  </si>
  <si>
    <t xml:space="preserve">      40260 Nicholasville Baptist Church</t>
  </si>
  <si>
    <t xml:space="preserve">      40275 Parkway Baptist Church</t>
  </si>
  <si>
    <t xml:space="preserve">      40285 Pinckard Baptist Church</t>
  </si>
  <si>
    <t xml:space="preserve">      40290 Porter Memorial Baptist Church</t>
  </si>
  <si>
    <t xml:space="preserve">      40305 Rosemont Baptist Church</t>
  </si>
  <si>
    <t xml:space="preserve">      40315 Russell Cave Baptist Church</t>
  </si>
  <si>
    <t xml:space="preserve">      40320 Safe Harbor Baptist Church</t>
  </si>
  <si>
    <t xml:space="preserve">      40340 South Elkhorn Baptist Church</t>
  </si>
  <si>
    <t xml:space="preserve">      40345 Southern Heights Baptist Church</t>
  </si>
  <si>
    <t xml:space="preserve">      40385 Versailles Baptist Church</t>
  </si>
  <si>
    <t xml:space="preserve">   Total 40 Income from Churches</t>
  </si>
  <si>
    <t xml:space="preserve">   42 KBC Support</t>
  </si>
  <si>
    <t xml:space="preserve">   45 Special/Misc/Interest Income</t>
  </si>
  <si>
    <t xml:space="preserve">   49 KBC Ministry Specialist Grant</t>
  </si>
  <si>
    <t>Total Revenue</t>
  </si>
  <si>
    <t>Gross Profit</t>
  </si>
  <si>
    <t>Expenditures</t>
  </si>
  <si>
    <t xml:space="preserve">   641 Administrative Ministry Exp.</t>
  </si>
  <si>
    <t xml:space="preserve">      6411 Administrative Staff</t>
  </si>
  <si>
    <t xml:space="preserve">         6411B Glenda Finance Director</t>
  </si>
  <si>
    <t xml:space="preserve">         6416G FICA</t>
  </si>
  <si>
    <t xml:space="preserve">      Total 6411 Administrative Staff</t>
  </si>
  <si>
    <t xml:space="preserve">      6412 Office Expenses/Communications</t>
  </si>
  <si>
    <t xml:space="preserve">         6412A General Office/Misc Expenses</t>
  </si>
  <si>
    <t xml:space="preserve">      Total 6412 Office Expenses/Communications</t>
  </si>
  <si>
    <t xml:space="preserve">      6416 Staff Benefits</t>
  </si>
  <si>
    <t xml:space="preserve">         6416A David's Employer Retirement Con</t>
  </si>
  <si>
    <t xml:space="preserve">         6416B David's Health/Life Insurance</t>
  </si>
  <si>
    <t xml:space="preserve">      Total 6416 Staff Benefits</t>
  </si>
  <si>
    <t xml:space="preserve">   Total 641 Administrative Ministry Exp.</t>
  </si>
  <si>
    <t xml:space="preserve">   642 Church/Leadership Development</t>
  </si>
  <si>
    <t xml:space="preserve">      6421 Consultants</t>
  </si>
  <si>
    <t xml:space="preserve">         6421A David Executive Director Salary</t>
  </si>
  <si>
    <t xml:space="preserve">            6421A1 David's Salary</t>
  </si>
  <si>
    <t xml:space="preserve">            6421A3 David Housing</t>
  </si>
  <si>
    <t xml:space="preserve">         Total 6421A David Executive Director Salary</t>
  </si>
  <si>
    <t xml:space="preserve">         6421B Ambassadors</t>
  </si>
  <si>
    <t xml:space="preserve">            6421B9 David Barron</t>
  </si>
  <si>
    <t xml:space="preserve">               6421B9A David Barron Expenses</t>
  </si>
  <si>
    <t xml:space="preserve">            Total 6421B9 David Barron</t>
  </si>
  <si>
    <t xml:space="preserve">         Total 6421B Ambassadors</t>
  </si>
  <si>
    <t xml:space="preserve">      Total 6421 Consultants</t>
  </si>
  <si>
    <t xml:space="preserve">      6423 Equipping/Connecting Events/Con</t>
  </si>
  <si>
    <t xml:space="preserve">         6423A1 Events/Grants</t>
  </si>
  <si>
    <t xml:space="preserve">      Total 6423 Equipping/Connecting Events/Con</t>
  </si>
  <si>
    <t xml:space="preserve">   Total 642 Church/Leadership Development</t>
  </si>
  <si>
    <t xml:space="preserve">   643 Church Planting</t>
  </si>
  <si>
    <t xml:space="preserve">      6431 Consultants</t>
  </si>
  <si>
    <t xml:space="preserve">         6431A David Executive Director Salary</t>
  </si>
  <si>
    <t xml:space="preserve">            6431A1 David's Salary</t>
  </si>
  <si>
    <t xml:space="preserve">            6431A3 David's Housing</t>
  </si>
  <si>
    <t xml:space="preserve">         Total 6431A David Executive Director Salary</t>
  </si>
  <si>
    <t xml:space="preserve">         6431B Ambassadors</t>
  </si>
  <si>
    <t xml:space="preserve">            6431B9 David Barron</t>
  </si>
  <si>
    <t xml:space="preserve">               6431B9A David Barron Expenses</t>
  </si>
  <si>
    <t xml:space="preserve">            Total 6431B9 David Barron</t>
  </si>
  <si>
    <t xml:space="preserve">         Total 6431B Ambassadors</t>
  </si>
  <si>
    <t xml:space="preserve">      Total 6431 Consultants</t>
  </si>
  <si>
    <t xml:space="preserve">      6434 KBC Church Planter Grants</t>
  </si>
  <si>
    <t xml:space="preserve">   Total 643 Church Planting</t>
  </si>
  <si>
    <t xml:space="preserve">   644 Church Revitalization</t>
  </si>
  <si>
    <t xml:space="preserve">      6441 Consultants</t>
  </si>
  <si>
    <t xml:space="preserve">         6441A David Executive Director Salary</t>
  </si>
  <si>
    <t xml:space="preserve">            6441A1 David's Salary</t>
  </si>
  <si>
    <t xml:space="preserve">            6441A3 David's Housing</t>
  </si>
  <si>
    <t xml:space="preserve">         Total 6441A David Executive Director Salary</t>
  </si>
  <si>
    <t xml:space="preserve">         6441B Ambassadors</t>
  </si>
  <si>
    <t xml:space="preserve">            6441B13 Miscellaneous</t>
  </si>
  <si>
    <t xml:space="preserve">            6441B9 David Barron</t>
  </si>
  <si>
    <t xml:space="preserve">               6441B9A David Barron Expenses</t>
  </si>
  <si>
    <t xml:space="preserve">            Total 6441B9 David Barron</t>
  </si>
  <si>
    <t xml:space="preserve">         Total 6441B Ambassadors</t>
  </si>
  <si>
    <t xml:space="preserve">      Total 6441 Consultants</t>
  </si>
  <si>
    <t xml:space="preserve">   Total 644 Church Revitalization</t>
  </si>
  <si>
    <t xml:space="preserve">   645 Church-Led Compassion/ Min.</t>
  </si>
  <si>
    <t xml:space="preserve">      6451 Compassion/Community Min. Spec.</t>
  </si>
  <si>
    <t xml:space="preserve">         6451B Community Ministries Specialist</t>
  </si>
  <si>
    <t xml:space="preserve">      Total 6451 Compassion/Community Min. Spec.</t>
  </si>
  <si>
    <t xml:space="preserve">      6452 Church Based Ministry Grants</t>
  </si>
  <si>
    <t xml:space="preserve">         6452K Irishtown Ministry Center</t>
  </si>
  <si>
    <t xml:space="preserve">      Total 6452 Church Based Ministry Grants</t>
  </si>
  <si>
    <t xml:space="preserve">      6453 Disaster Relief/Outreach Units</t>
  </si>
  <si>
    <t xml:space="preserve">   Total 645 Church-Led Compassion/ Min.</t>
  </si>
  <si>
    <t xml:space="preserve">   66000 Payroll Expenses</t>
  </si>
  <si>
    <t xml:space="preserve">      Taxes</t>
  </si>
  <si>
    <t xml:space="preserve">      Wages</t>
  </si>
  <si>
    <t xml:space="preserve">   Total 66000 Payroll Expenses</t>
  </si>
  <si>
    <t>Total Expenditures</t>
  </si>
  <si>
    <t>Net Operating Revenue</t>
  </si>
  <si>
    <t>Net Revenue</t>
  </si>
  <si>
    <t>Central Kentucky Network of Baptists</t>
  </si>
  <si>
    <t>Income from Churches</t>
  </si>
  <si>
    <t>CENTRAL KENTUCKY NETWORK OF BAPTISTS</t>
  </si>
  <si>
    <t xml:space="preserve">Budget vs. Actuals: Budget 2023 - FY23 P&amp;L </t>
  </si>
  <si>
    <t xml:space="preserve">      40007 Ashland Avenue Baptist Church</t>
  </si>
  <si>
    <t xml:space="preserve">      40034 Cane Run Station Cowboy Ch.</t>
  </si>
  <si>
    <t xml:space="preserve">      40037 Cedar Grove Baptist Church</t>
  </si>
  <si>
    <t xml:space="preserve">      40067 Cornerstone Baptist Church, Lex</t>
  </si>
  <si>
    <t xml:space="preserve">      40069 Commonwealth City Church</t>
  </si>
  <si>
    <t xml:space="preserve">      40085 Durbin Memorial Baptist Church</t>
  </si>
  <si>
    <t xml:space="preserve">      40115 First Baptist Church, Lexington</t>
  </si>
  <si>
    <t xml:space="preserve">      40135 Gano Baptist Church</t>
  </si>
  <si>
    <t xml:space="preserve">      40185 Lawrenceburg Community Baptist</t>
  </si>
  <si>
    <t xml:space="preserve">      40265 North View Baptist Church</t>
  </si>
  <si>
    <t xml:space="preserve">      40273 Palomar Baptist Church</t>
  </si>
  <si>
    <t xml:space="preserve">      40280 Penn Avenue Baptist Church</t>
  </si>
  <si>
    <t xml:space="preserve">      40335 Silas Baptist Church</t>
  </si>
  <si>
    <t xml:space="preserve">      40395 White Sulphur Baptist Church</t>
  </si>
  <si>
    <t xml:space="preserve">   43 Julia Woodward Offering</t>
  </si>
  <si>
    <t xml:space="preserve">   45A Irishtown Ministry/CKNB Grant</t>
  </si>
  <si>
    <t xml:space="preserve">         6421E Uncommitted</t>
  </si>
  <si>
    <t xml:space="preserve">      6433 Church Planting/Consultations</t>
  </si>
  <si>
    <t xml:space="preserve">         6433E Consultations - Uncommitted</t>
  </si>
  <si>
    <t xml:space="preserve">         6433I Events/Grants</t>
  </si>
  <si>
    <t xml:space="preserve">      Total 6433 Church Planting/Consultations</t>
  </si>
  <si>
    <t xml:space="preserve">         6441E Uncommitted</t>
  </si>
  <si>
    <t xml:space="preserve">      6442 Equipping/Training/Consultation</t>
  </si>
  <si>
    <t xml:space="preserve">         6452A Hot Meals</t>
  </si>
  <si>
    <t xml:space="preserve">         6452D Toy Project</t>
  </si>
  <si>
    <t xml:space="preserve">         6452F Collegiate Ministry</t>
  </si>
  <si>
    <t xml:space="preserve">         6452G Salvation/LEX</t>
  </si>
  <si>
    <t xml:space="preserve">      6456 International Ministries</t>
  </si>
  <si>
    <t xml:space="preserve">         6456C International</t>
  </si>
  <si>
    <t xml:space="preserve">      Total 6456 International Ministries</t>
  </si>
  <si>
    <t>Actual</t>
  </si>
  <si>
    <t>Budget</t>
  </si>
  <si>
    <t>over Budget</t>
  </si>
  <si>
    <t>Remaining</t>
  </si>
  <si>
    <t>% of Budget</t>
  </si>
  <si>
    <t>% Remaining</t>
  </si>
  <si>
    <t>Balance Sheet</t>
  </si>
  <si>
    <t>ASSETS</t>
  </si>
  <si>
    <t xml:space="preserve">   Current Assets</t>
  </si>
  <si>
    <t xml:space="preserve">      Bank Accounts</t>
  </si>
  <si>
    <t xml:space="preserve">         1101 Republic Bank</t>
  </si>
  <si>
    <t xml:space="preserve">         1103 Republic Bank Money Market</t>
  </si>
  <si>
    <t xml:space="preserve">         1105A Edward Jones</t>
  </si>
  <si>
    <t xml:space="preserve">            1105 Edward Jones Investment</t>
  </si>
  <si>
    <t xml:space="preserve">         Total 1105A Edward Jones</t>
  </si>
  <si>
    <t xml:space="preserve">         1108 Thrivent</t>
  </si>
  <si>
    <t xml:space="preserve">         1110 Kentucky Baptist Foundation</t>
  </si>
  <si>
    <t xml:space="preserve">         1111 CD - Republic Bank</t>
  </si>
  <si>
    <t xml:space="preserve">         1112 Republic Bank Mexico Missions</t>
  </si>
  <si>
    <t xml:space="preserve">         1113 KBF Stamping Ground BC</t>
  </si>
  <si>
    <t xml:space="preserve">         Money Market (5230)</t>
  </si>
  <si>
    <t xml:space="preserve">      Total Bank Accounts</t>
  </si>
  <si>
    <t xml:space="preserve">   Total Current Assets</t>
  </si>
  <si>
    <t xml:space="preserve">   Fixed Assets</t>
  </si>
  <si>
    <t xml:space="preserve">      12 Fixed Assets</t>
  </si>
  <si>
    <t xml:space="preserve">         1201 Office Furniture</t>
  </si>
  <si>
    <t xml:space="preserve">         1204 Building/Land - Irishtown</t>
  </si>
  <si>
    <t xml:space="preserve">         1206 Beringer Dr House</t>
  </si>
  <si>
    <t xml:space="preserve">      Total 12 Fixed Assets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</si>
  <si>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</si>
  <si>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</si>
  <si>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</si>
  <si>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</si>
  <si>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</si>
  <si>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Other Current Liabilities</t>
  </si>
  <si>
    <t xml:space="preserve">            22 Mission Obligation - Designated</t>
  </si>
  <si>
    <t xml:space="preserve">               22A Church/Community Min. Support</t>
  </si>
  <si>
    <t xml:space="preserve">                  2201 Race Track</t>
  </si>
  <si>
    <t xml:space="preserve">                  2203 Disaster Relief Trailer</t>
  </si>
  <si>
    <t xml:space="preserve">                  2204 Evangelism/Party Trailer</t>
  </si>
  <si>
    <t xml:space="preserve">               Total 22A Church/Community Min. Support</t>
  </si>
  <si>
    <t xml:space="preserve">               22B Church Planting</t>
  </si>
  <si>
    <t xml:space="preserve">                  2220 Hispanic Bible Institute</t>
  </si>
  <si>
    <t xml:space="preserve">               Total 22B Church Planting</t>
  </si>
  <si>
    <t xml:space="preserve">               22C Other Designated</t>
  </si>
  <si>
    <t xml:space="preserve">                  2225 SGBC - Scholarship</t>
  </si>
  <si>
    <t xml:space="preserve">                  2235 Mission Partnership</t>
  </si>
  <si>
    <t xml:space="preserve">                  2238 Mexico Mission Partnership</t>
  </si>
  <si>
    <t xml:space="preserve">                  2241 SGBC Beringer House</t>
  </si>
  <si>
    <t xml:space="preserve">                  2243 EDSF</t>
  </si>
  <si>
    <t xml:space="preserve">                  2250 Church Multiplication Strategy</t>
  </si>
  <si>
    <t xml:space="preserve">                  2251 Sadieville Church Property</t>
  </si>
  <si>
    <t xml:space="preserve">                  2253 Irishtown Ministry</t>
  </si>
  <si>
    <t xml:space="preserve">                  2254 Pam Polkey Guidestone</t>
  </si>
  <si>
    <t xml:space="preserve">                  2255 2022 Special Projects</t>
  </si>
  <si>
    <t xml:space="preserve">                  2256 Discipleship Summit</t>
  </si>
  <si>
    <t xml:space="preserve">                  2258 Dry Run</t>
  </si>
  <si>
    <t xml:space="preserve">                  2261 MLSA</t>
  </si>
  <si>
    <t xml:space="preserve">                  2263 Hispanic Account</t>
  </si>
  <si>
    <t xml:space="preserve">                  2264 Minister Assistance</t>
  </si>
  <si>
    <t xml:space="preserve">               Total 22C Other Designated</t>
  </si>
  <si>
    <t xml:space="preserve">            Total 22 Mission Obligation - Designated</t>
  </si>
  <si>
    <t xml:space="preserve">            24 Payroll Liabilities</t>
  </si>
  <si>
    <t xml:space="preserve">               242 Lexington City Tax Withheld</t>
  </si>
  <si>
    <t xml:space="preserve">               243 FCPS School Tax Withheld</t>
  </si>
  <si>
    <t xml:space="preserve">               244 Retirement Payable</t>
  </si>
  <si>
    <t xml:space="preserve">               245 Health Insurance Payable</t>
  </si>
  <si>
    <t xml:space="preserve">               403b Co. Match Exec. Director</t>
  </si>
  <si>
    <t xml:space="preserve">               Assistant Ex Dir. Health Ins</t>
  </si>
  <si>
    <t xml:space="preserve">               Assistant Ex Director 403B</t>
  </si>
  <si>
    <t xml:space="preserve">               Federal Taxes (941/943/944)</t>
  </si>
  <si>
    <t xml:space="preserve">               Health Insurance (company paid)</t>
  </si>
  <si>
    <t xml:space="preserve">               KY Income Tax</t>
  </si>
  <si>
    <t xml:space="preserve">            Total 24 Payroll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</si>
  <si>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</si>
  <si>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</si>
  <si>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</si>
  <si>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</si>
  <si>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 Net Assets</t>
  </si>
  <si>
    <t xml:space="preserve">         31 Unrestricted</t>
  </si>
  <si>
    <t xml:space="preserve">         32 Profit Sale of Building/Reno</t>
  </si>
  <si>
    <t xml:space="preserve">         33 Restricted</t>
  </si>
  <si>
    <t xml:space="preserve">            2205 Anna White Missions</t>
  </si>
  <si>
    <t xml:space="preserve">            2226 Sale of Building</t>
  </si>
  <si>
    <t xml:space="preserve">            2242 St Gr BC Beringer House</t>
  </si>
  <si>
    <t xml:space="preserve">         Total 33 Restricted</t>
  </si>
  <si>
    <t xml:space="preserve">         36 Church Development</t>
  </si>
  <si>
    <t xml:space="preserve">      Total 3 Net Assets</t>
  </si>
  <si>
    <t xml:space="preserve">      30000 Opening Balance Equity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</si>
  <si>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</si>
  <si>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</si>
  <si>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</si>
  <si>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</si>
  <si>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 xml:space="preserve">      40075 David's Fork Baptist Church</t>
  </si>
  <si>
    <t xml:space="preserve">      40125 First Baptist Church, Paris</t>
  </si>
  <si>
    <t xml:space="preserve">      40195 Long Lick Baptist Church</t>
  </si>
  <si>
    <t xml:space="preserve">   46 KBC WMU Grant</t>
  </si>
  <si>
    <t xml:space="preserve">      40185 Lawrenceburg Baptist Church</t>
  </si>
  <si>
    <t xml:space="preserve">   48 KBC WMU Grant</t>
  </si>
  <si>
    <t xml:space="preserve">      40380 Trinity Baptist Church</t>
  </si>
  <si>
    <t xml:space="preserve">      40060 Clover Bottom Baptist Church</t>
  </si>
  <si>
    <t xml:space="preserve">         6452B Sack Lunch</t>
  </si>
  <si>
    <t>As of April 30, 2023</t>
  </si>
  <si>
    <t xml:space="preserve">January - April 2023 </t>
  </si>
  <si>
    <t xml:space="preserve">      40034 Cane Run Station Cowboy Church</t>
  </si>
  <si>
    <t xml:space="preserve">      40065 Clover Bottom Baptist Church</t>
  </si>
  <si>
    <t xml:space="preserve">      40385 White Sulphur Baptist Church</t>
  </si>
  <si>
    <t xml:space="preserve">         6452B Sack Linch Ministry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</si>
</sst>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0" fontId="3" fillId="0" borderId="0" xfId="0" applyNumberFormat="1" applyFont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0" xfId="0" applyNumberFormat="1" applyFont="1" applyBorder="1" applyAlignment="1">
      <alignment horizontal="right" wrapText="1"/>
    </xf>
    <xf numFmtId="10" fontId="2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4"/>
  <sheetViews>
    <sheetView topLeftCell="A60" workbookViewId="0">
      <selection activeCell="A73" sqref="A73:XFD73"/>
    </sheetView>
  </sheetViews>
  <sheetFormatPr defaultRowHeight="15" x14ac:dyDescent="0.25"/>
  <cols>
    <col min="1" max="1" width="45.5703125" customWidth="1"/>
    <col min="2" max="2" width="31.85546875" customWidth="1"/>
  </cols>
  <sheetData>
    <row r="1" spans="1:2" ht="18" x14ac:dyDescent="0.25">
      <c r="A1" s="17" t="s">
        <v>123</v>
      </c>
      <c r="B1" s="16"/>
    </row>
    <row r="2" spans="1:2" ht="18" x14ac:dyDescent="0.25">
      <c r="A2" s="17" t="s">
        <v>124</v>
      </c>
      <c r="B2" s="16"/>
    </row>
    <row r="3" spans="1:2" x14ac:dyDescent="0.25">
      <c r="A3" s="18">
        <v>45017</v>
      </c>
      <c r="B3" s="16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/>
    </row>
    <row r="8" spans="1:2" x14ac:dyDescent="0.25">
      <c r="A8" s="3" t="s">
        <v>3</v>
      </c>
      <c r="B8" s="5">
        <v>2000</v>
      </c>
    </row>
    <row r="9" spans="1:2" x14ac:dyDescent="0.25">
      <c r="A9" s="3" t="s">
        <v>4</v>
      </c>
      <c r="B9" s="5">
        <v>300</v>
      </c>
    </row>
    <row r="10" spans="1:2" x14ac:dyDescent="0.25">
      <c r="A10" s="3" t="s">
        <v>5</v>
      </c>
      <c r="B10" s="5">
        <v>651.13</v>
      </c>
    </row>
    <row r="11" spans="1:2" x14ac:dyDescent="0.25">
      <c r="A11" s="3" t="s">
        <v>6</v>
      </c>
      <c r="B11" s="5">
        <v>106.84</v>
      </c>
    </row>
    <row r="12" spans="1:2" x14ac:dyDescent="0.25">
      <c r="A12" s="3" t="s">
        <v>261</v>
      </c>
      <c r="B12" s="5">
        <v>25</v>
      </c>
    </row>
    <row r="13" spans="1:2" x14ac:dyDescent="0.25">
      <c r="A13" s="3" t="s">
        <v>7</v>
      </c>
      <c r="B13" s="5">
        <v>0</v>
      </c>
    </row>
    <row r="14" spans="1:2" x14ac:dyDescent="0.25">
      <c r="A14" s="3" t="s">
        <v>129</v>
      </c>
      <c r="B14" s="5">
        <v>500</v>
      </c>
    </row>
    <row r="15" spans="1:2" x14ac:dyDescent="0.25">
      <c r="A15" s="3" t="s">
        <v>8</v>
      </c>
      <c r="B15" s="5">
        <v>100</v>
      </c>
    </row>
    <row r="16" spans="1:2" x14ac:dyDescent="0.25">
      <c r="A16" s="3" t="s">
        <v>9</v>
      </c>
      <c r="B16" s="5">
        <v>25</v>
      </c>
    </row>
    <row r="17" spans="1:2" x14ac:dyDescent="0.25">
      <c r="A17" s="3" t="s">
        <v>262</v>
      </c>
      <c r="B17" s="5">
        <v>400</v>
      </c>
    </row>
    <row r="18" spans="1:2" x14ac:dyDescent="0.25">
      <c r="A18" s="13" t="s">
        <v>130</v>
      </c>
      <c r="B18" s="5">
        <v>0</v>
      </c>
    </row>
    <row r="19" spans="1:2" x14ac:dyDescent="0.25">
      <c r="A19" s="3" t="s">
        <v>10</v>
      </c>
      <c r="B19" s="5">
        <f>183</f>
        <v>183</v>
      </c>
    </row>
    <row r="20" spans="1:2" x14ac:dyDescent="0.25">
      <c r="A20" s="13" t="s">
        <v>131</v>
      </c>
      <c r="B20" s="5">
        <v>0</v>
      </c>
    </row>
    <row r="21" spans="1:2" x14ac:dyDescent="0.25">
      <c r="A21" s="3" t="s">
        <v>11</v>
      </c>
      <c r="B21" s="5">
        <v>984</v>
      </c>
    </row>
    <row r="22" spans="1:2" x14ac:dyDescent="0.25">
      <c r="A22" s="13" t="s">
        <v>250</v>
      </c>
      <c r="B22" s="5">
        <v>300</v>
      </c>
    </row>
    <row r="23" spans="1:2" x14ac:dyDescent="0.25">
      <c r="A23" s="3" t="s">
        <v>12</v>
      </c>
      <c r="B23" s="5">
        <v>0</v>
      </c>
    </row>
    <row r="24" spans="1:2" x14ac:dyDescent="0.25">
      <c r="A24" s="3" t="s">
        <v>13</v>
      </c>
      <c r="B24" s="5">
        <v>298.58</v>
      </c>
    </row>
    <row r="25" spans="1:2" x14ac:dyDescent="0.25">
      <c r="A25" s="13" t="s">
        <v>133</v>
      </c>
      <c r="B25" s="5">
        <v>70</v>
      </c>
    </row>
    <row r="26" spans="1:2" x14ac:dyDescent="0.25">
      <c r="A26" s="13" t="s">
        <v>14</v>
      </c>
      <c r="B26" s="5">
        <f>208.33</f>
        <v>208.33</v>
      </c>
    </row>
    <row r="27" spans="1:2" x14ac:dyDescent="0.25">
      <c r="A27" s="13" t="s">
        <v>251</v>
      </c>
      <c r="B27" s="5">
        <v>0</v>
      </c>
    </row>
    <row r="28" spans="1:2" x14ac:dyDescent="0.25">
      <c r="A28" s="3" t="s">
        <v>15</v>
      </c>
      <c r="B28" s="5">
        <f>300</f>
        <v>300</v>
      </c>
    </row>
    <row r="29" spans="1:2" x14ac:dyDescent="0.25">
      <c r="A29" s="3" t="s">
        <v>134</v>
      </c>
      <c r="B29" s="5">
        <v>1406.7</v>
      </c>
    </row>
    <row r="30" spans="1:2" x14ac:dyDescent="0.25">
      <c r="A30" s="3" t="s">
        <v>16</v>
      </c>
      <c r="B30" s="5">
        <v>0</v>
      </c>
    </row>
    <row r="31" spans="1:2" x14ac:dyDescent="0.25">
      <c r="A31" s="3" t="s">
        <v>17</v>
      </c>
      <c r="B31" s="5">
        <f>175</f>
        <v>175</v>
      </c>
    </row>
    <row r="32" spans="1:2" x14ac:dyDescent="0.25">
      <c r="A32" s="3" t="s">
        <v>18</v>
      </c>
      <c r="B32" s="5">
        <v>460</v>
      </c>
    </row>
    <row r="33" spans="1:2" x14ac:dyDescent="0.25">
      <c r="A33" s="3" t="s">
        <v>19</v>
      </c>
      <c r="B33" s="5">
        <v>0</v>
      </c>
    </row>
    <row r="34" spans="1:2" x14ac:dyDescent="0.25">
      <c r="A34" s="3" t="s">
        <v>20</v>
      </c>
      <c r="B34" s="5">
        <f>250</f>
        <v>250</v>
      </c>
    </row>
    <row r="35" spans="1:2" x14ac:dyDescent="0.25">
      <c r="A35" s="3" t="s">
        <v>21</v>
      </c>
      <c r="B35" s="5">
        <v>4358.7700000000004</v>
      </c>
    </row>
    <row r="36" spans="1:2" x14ac:dyDescent="0.25">
      <c r="A36" s="3" t="s">
        <v>22</v>
      </c>
      <c r="B36" s="5">
        <v>311.52</v>
      </c>
    </row>
    <row r="37" spans="1:2" x14ac:dyDescent="0.25">
      <c r="A37" s="3" t="s">
        <v>23</v>
      </c>
      <c r="B37" s="5">
        <v>244.69</v>
      </c>
    </row>
    <row r="38" spans="1:2" x14ac:dyDescent="0.25">
      <c r="A38" s="3" t="s">
        <v>24</v>
      </c>
      <c r="B38" s="6">
        <f>((B35)+(B36))+(B37)</f>
        <v>4914.9800000000005</v>
      </c>
    </row>
    <row r="39" spans="1:2" x14ac:dyDescent="0.25">
      <c r="A39" s="13" t="s">
        <v>254</v>
      </c>
      <c r="B39" s="14">
        <v>0</v>
      </c>
    </row>
    <row r="40" spans="1:2" x14ac:dyDescent="0.25">
      <c r="A40" s="3" t="s">
        <v>25</v>
      </c>
      <c r="B40" s="5">
        <v>150</v>
      </c>
    </row>
    <row r="41" spans="1:2" x14ac:dyDescent="0.25">
      <c r="A41" s="13" t="s">
        <v>252</v>
      </c>
      <c r="B41" s="5">
        <v>0</v>
      </c>
    </row>
    <row r="42" spans="1:2" x14ac:dyDescent="0.25">
      <c r="A42" s="3" t="s">
        <v>26</v>
      </c>
      <c r="B42" s="5">
        <v>181.45</v>
      </c>
    </row>
    <row r="43" spans="1:2" x14ac:dyDescent="0.25">
      <c r="A43" s="3" t="s">
        <v>27</v>
      </c>
      <c r="B43" s="5">
        <v>121.66</v>
      </c>
    </row>
    <row r="44" spans="1:2" x14ac:dyDescent="0.25">
      <c r="A44" s="3" t="s">
        <v>28</v>
      </c>
      <c r="B44" s="5">
        <v>0</v>
      </c>
    </row>
    <row r="45" spans="1:2" x14ac:dyDescent="0.25">
      <c r="A45" s="3" t="s">
        <v>29</v>
      </c>
      <c r="B45" s="5">
        <f>500</f>
        <v>500</v>
      </c>
    </row>
    <row r="46" spans="1:2" x14ac:dyDescent="0.25">
      <c r="A46" s="3" t="s">
        <v>30</v>
      </c>
      <c r="B46" s="5">
        <v>551.14</v>
      </c>
    </row>
    <row r="47" spans="1:2" x14ac:dyDescent="0.25">
      <c r="A47" s="3" t="s">
        <v>31</v>
      </c>
      <c r="B47" s="5">
        <f>300</f>
        <v>300</v>
      </c>
    </row>
    <row r="48" spans="1:2" x14ac:dyDescent="0.25">
      <c r="A48" s="3" t="s">
        <v>32</v>
      </c>
      <c r="B48" s="5">
        <v>130.82</v>
      </c>
    </row>
    <row r="49" spans="1:2" x14ac:dyDescent="0.25">
      <c r="A49" s="3" t="s">
        <v>33</v>
      </c>
      <c r="B49" s="5">
        <v>474.27</v>
      </c>
    </row>
    <row r="50" spans="1:2" x14ac:dyDescent="0.25">
      <c r="A50" s="3" t="s">
        <v>136</v>
      </c>
      <c r="B50" s="5">
        <v>125</v>
      </c>
    </row>
    <row r="51" spans="1:2" x14ac:dyDescent="0.25">
      <c r="A51" s="3" t="s">
        <v>137</v>
      </c>
      <c r="B51" s="5">
        <v>300</v>
      </c>
    </row>
    <row r="52" spans="1:2" x14ac:dyDescent="0.25">
      <c r="A52" s="3" t="s">
        <v>34</v>
      </c>
      <c r="B52" s="5">
        <v>350.38</v>
      </c>
    </row>
    <row r="53" spans="1:2" x14ac:dyDescent="0.25">
      <c r="A53" s="3" t="s">
        <v>35</v>
      </c>
      <c r="B53" s="5">
        <v>742.66</v>
      </c>
    </row>
    <row r="54" spans="1:2" x14ac:dyDescent="0.25">
      <c r="A54" s="3" t="s">
        <v>36</v>
      </c>
      <c r="B54" s="5">
        <f>2000</f>
        <v>2000</v>
      </c>
    </row>
    <row r="55" spans="1:2" x14ac:dyDescent="0.25">
      <c r="A55" s="3" t="s">
        <v>37</v>
      </c>
      <c r="B55" s="5">
        <v>544.35</v>
      </c>
    </row>
    <row r="56" spans="1:2" x14ac:dyDescent="0.25">
      <c r="A56" s="3" t="s">
        <v>38</v>
      </c>
      <c r="B56" s="5">
        <v>0</v>
      </c>
    </row>
    <row r="57" spans="1:2" x14ac:dyDescent="0.25">
      <c r="A57" s="3" t="s">
        <v>39</v>
      </c>
      <c r="B57" s="5">
        <f>200</f>
        <v>200</v>
      </c>
    </row>
    <row r="58" spans="1:2" x14ac:dyDescent="0.25">
      <c r="A58" s="13" t="s">
        <v>139</v>
      </c>
      <c r="B58" s="5">
        <v>312.72000000000003</v>
      </c>
    </row>
    <row r="59" spans="1:2" x14ac:dyDescent="0.25">
      <c r="A59" s="3" t="s">
        <v>40</v>
      </c>
      <c r="B59" s="5">
        <v>37</v>
      </c>
    </row>
    <row r="60" spans="1:2" x14ac:dyDescent="0.25">
      <c r="A60" s="3" t="s">
        <v>41</v>
      </c>
      <c r="B60" s="5">
        <v>292.70999999999998</v>
      </c>
    </row>
    <row r="61" spans="1:2" x14ac:dyDescent="0.25">
      <c r="A61" s="3" t="s">
        <v>256</v>
      </c>
      <c r="B61" s="5">
        <v>200</v>
      </c>
    </row>
    <row r="62" spans="1:2" x14ac:dyDescent="0.25">
      <c r="A62" s="3" t="s">
        <v>42</v>
      </c>
      <c r="B62" s="5">
        <v>1290.29</v>
      </c>
    </row>
    <row r="63" spans="1:2" x14ac:dyDescent="0.25">
      <c r="A63" s="3" t="s">
        <v>263</v>
      </c>
      <c r="B63" s="5">
        <v>459.54</v>
      </c>
    </row>
    <row r="64" spans="1:2" x14ac:dyDescent="0.25">
      <c r="A64" s="3" t="s">
        <v>43</v>
      </c>
      <c r="B64" s="6">
        <f>(((((((((((((((((((((((((((((((((((((B7)+(B8))+(B9))+(B10))+(B11))+(B13))+(B15))+(B16))+(B19))+(B21))+(B23))+(B24))+(B26))+(B28))+(B30))+(B31))+(B32))+(B33))+(B34))+(B35))+(B39))+(B42))+(B43))+(B44))+(B45))+(B46))+(B47))+(B48))+(B49))+(B52))+(B53))+(B54))+(B55))+(B56))+(B57))+(B59))+(B60))+(B62)+B63+B61+B58+B51+B50+B41+B40+B37+B36+B29+B27+B25+B22+B20+B18+B17+B12+B14</f>
        <v>22922.550000000003</v>
      </c>
    </row>
    <row r="65" spans="1:2" x14ac:dyDescent="0.25">
      <c r="A65" s="3" t="s">
        <v>44</v>
      </c>
      <c r="B65" s="5">
        <f>300</f>
        <v>300</v>
      </c>
    </row>
    <row r="66" spans="1:2" x14ac:dyDescent="0.25">
      <c r="A66" s="13" t="s">
        <v>141</v>
      </c>
      <c r="B66" s="5">
        <v>0</v>
      </c>
    </row>
    <row r="67" spans="1:2" x14ac:dyDescent="0.25">
      <c r="A67" s="3" t="s">
        <v>45</v>
      </c>
      <c r="B67" s="5">
        <v>2023.61</v>
      </c>
    </row>
    <row r="68" spans="1:2" x14ac:dyDescent="0.25">
      <c r="A68" s="13" t="s">
        <v>255</v>
      </c>
      <c r="B68" s="5">
        <v>0</v>
      </c>
    </row>
    <row r="69" spans="1:2" x14ac:dyDescent="0.25">
      <c r="A69" s="3" t="s">
        <v>46</v>
      </c>
      <c r="B69" s="5">
        <f>1250</f>
        <v>1250</v>
      </c>
    </row>
    <row r="70" spans="1:2" x14ac:dyDescent="0.25">
      <c r="A70" s="3" t="s">
        <v>47</v>
      </c>
      <c r="B70" s="6">
        <f>(((B64)+(B65))+(B67))+(B69)</f>
        <v>26496.160000000003</v>
      </c>
    </row>
    <row r="71" spans="1:2" x14ac:dyDescent="0.25">
      <c r="A71" s="3" t="s">
        <v>48</v>
      </c>
      <c r="B71" s="6">
        <f>(B70)-(0)</f>
        <v>26496.160000000003</v>
      </c>
    </row>
    <row r="72" spans="1:2" x14ac:dyDescent="0.25">
      <c r="A72" s="3"/>
      <c r="B72" s="23"/>
    </row>
    <row r="73" spans="1:2" x14ac:dyDescent="0.25">
      <c r="A73" s="3"/>
      <c r="B73" s="23"/>
    </row>
    <row r="74" spans="1:2" x14ac:dyDescent="0.25">
      <c r="A74" s="3"/>
      <c r="B74" s="23"/>
    </row>
    <row r="75" spans="1:2" x14ac:dyDescent="0.25">
      <c r="A75" s="3"/>
      <c r="B75" s="23"/>
    </row>
    <row r="76" spans="1:2" x14ac:dyDescent="0.25">
      <c r="A76" s="3"/>
      <c r="B76" s="23"/>
    </row>
    <row r="77" spans="1:2" x14ac:dyDescent="0.25">
      <c r="A77" s="3"/>
      <c r="B77" s="23"/>
    </row>
    <row r="78" spans="1:2" x14ac:dyDescent="0.25">
      <c r="A78" s="3"/>
      <c r="B78" s="23"/>
    </row>
    <row r="79" spans="1:2" x14ac:dyDescent="0.25">
      <c r="A79" s="3"/>
      <c r="B79" s="23"/>
    </row>
    <row r="80" spans="1:2" x14ac:dyDescent="0.25">
      <c r="A80" s="3"/>
      <c r="B80" s="23"/>
    </row>
    <row r="81" spans="1:2" x14ac:dyDescent="0.25">
      <c r="A81" s="3"/>
      <c r="B81" s="23"/>
    </row>
    <row r="82" spans="1:2" x14ac:dyDescent="0.25">
      <c r="A82" s="3"/>
      <c r="B82" s="23"/>
    </row>
    <row r="83" spans="1:2" x14ac:dyDescent="0.25">
      <c r="A83" s="3"/>
      <c r="B83" s="23"/>
    </row>
    <row r="84" spans="1:2" x14ac:dyDescent="0.25">
      <c r="A84" s="3"/>
      <c r="B84" s="23"/>
    </row>
    <row r="85" spans="1:2" x14ac:dyDescent="0.25">
      <c r="A85" s="3"/>
      <c r="B85" s="23"/>
    </row>
    <row r="86" spans="1:2" x14ac:dyDescent="0.25">
      <c r="A86" s="3"/>
      <c r="B86" s="23"/>
    </row>
    <row r="87" spans="1:2" x14ac:dyDescent="0.25">
      <c r="A87" s="3"/>
      <c r="B87" s="23"/>
    </row>
    <row r="88" spans="1:2" x14ac:dyDescent="0.25">
      <c r="A88" s="3"/>
      <c r="B88" s="23"/>
    </row>
    <row r="89" spans="1:2" x14ac:dyDescent="0.25">
      <c r="A89" s="3"/>
      <c r="B89" s="23"/>
    </row>
    <row r="90" spans="1:2" x14ac:dyDescent="0.25">
      <c r="A90" s="3"/>
      <c r="B90" s="23"/>
    </row>
    <row r="91" spans="1:2" x14ac:dyDescent="0.25">
      <c r="A91" s="3"/>
      <c r="B91" s="23"/>
    </row>
    <row r="92" spans="1:2" x14ac:dyDescent="0.25">
      <c r="A92" s="3"/>
      <c r="B92" s="23"/>
    </row>
    <row r="93" spans="1:2" x14ac:dyDescent="0.25">
      <c r="A93" s="3"/>
      <c r="B93" s="23"/>
    </row>
    <row r="94" spans="1:2" x14ac:dyDescent="0.25">
      <c r="A94" s="3"/>
      <c r="B94" s="23"/>
    </row>
    <row r="95" spans="1:2" x14ac:dyDescent="0.25">
      <c r="A95" s="3" t="s">
        <v>49</v>
      </c>
      <c r="B95" s="4"/>
    </row>
    <row r="96" spans="1:2" x14ac:dyDescent="0.25">
      <c r="A96" s="3" t="s">
        <v>50</v>
      </c>
      <c r="B96" s="5"/>
    </row>
    <row r="97" spans="1:2" hidden="1" x14ac:dyDescent="0.25">
      <c r="A97" s="3" t="s">
        <v>51</v>
      </c>
      <c r="B97" s="5">
        <f>0</f>
        <v>0</v>
      </c>
    </row>
    <row r="98" spans="1:2" hidden="1" x14ac:dyDescent="0.25">
      <c r="A98" s="3" t="s">
        <v>52</v>
      </c>
      <c r="B98" s="5">
        <f>750</f>
        <v>750</v>
      </c>
    </row>
    <row r="99" spans="1:2" hidden="1" x14ac:dyDescent="0.25">
      <c r="A99" s="3" t="s">
        <v>53</v>
      </c>
      <c r="B99" s="5">
        <f>185.89</f>
        <v>185.89</v>
      </c>
    </row>
    <row r="100" spans="1:2" x14ac:dyDescent="0.25">
      <c r="A100" s="3" t="s">
        <v>54</v>
      </c>
      <c r="B100" s="6">
        <f>((B97)+(B98))+(B99)</f>
        <v>935.89</v>
      </c>
    </row>
    <row r="101" spans="1:2" x14ac:dyDescent="0.25">
      <c r="A101" s="3" t="s">
        <v>55</v>
      </c>
      <c r="B101" s="5"/>
    </row>
    <row r="102" spans="1:2" x14ac:dyDescent="0.25">
      <c r="A102" s="3" t="s">
        <v>56</v>
      </c>
      <c r="B102" s="5">
        <v>613.74</v>
      </c>
    </row>
    <row r="103" spans="1:2" x14ac:dyDescent="0.25">
      <c r="A103" s="3" t="s">
        <v>57</v>
      </c>
      <c r="B103" s="6">
        <f>(B101)+(B102)</f>
        <v>613.74</v>
      </c>
    </row>
    <row r="104" spans="1:2" hidden="1" x14ac:dyDescent="0.25">
      <c r="A104" s="3" t="s">
        <v>58</v>
      </c>
      <c r="B104" s="5">
        <f>0</f>
        <v>0</v>
      </c>
    </row>
    <row r="105" spans="1:2" hidden="1" x14ac:dyDescent="0.25">
      <c r="A105" s="3" t="s">
        <v>59</v>
      </c>
      <c r="B105" s="5">
        <f>1568.67</f>
        <v>1568.67</v>
      </c>
    </row>
    <row r="106" spans="1:2" hidden="1" x14ac:dyDescent="0.25">
      <c r="A106" s="3" t="s">
        <v>60</v>
      </c>
      <c r="B106" s="5">
        <f>3834.04</f>
        <v>3834.04</v>
      </c>
    </row>
    <row r="107" spans="1:2" x14ac:dyDescent="0.25">
      <c r="A107" s="3" t="s">
        <v>61</v>
      </c>
      <c r="B107" s="6">
        <f>((B104)+(B105))+(B106)</f>
        <v>5402.71</v>
      </c>
    </row>
    <row r="108" spans="1:2" x14ac:dyDescent="0.25">
      <c r="A108" s="3" t="s">
        <v>62</v>
      </c>
      <c r="B108" s="6">
        <f>(((B96)+(B100))+(B103))+(B107)</f>
        <v>6952.34</v>
      </c>
    </row>
    <row r="109" spans="1:2" x14ac:dyDescent="0.25">
      <c r="A109" s="3" t="s">
        <v>63</v>
      </c>
      <c r="B109" s="5">
        <f>0</f>
        <v>0</v>
      </c>
    </row>
    <row r="110" spans="1:2" ht="14.25" hidden="1" customHeight="1" x14ac:dyDescent="0.25">
      <c r="A110" s="3" t="s">
        <v>64</v>
      </c>
      <c r="B110" s="5">
        <f>0</f>
        <v>0</v>
      </c>
    </row>
    <row r="111" spans="1:2" hidden="1" x14ac:dyDescent="0.25">
      <c r="A111" s="3" t="s">
        <v>65</v>
      </c>
      <c r="B111" s="5">
        <f>0</f>
        <v>0</v>
      </c>
    </row>
    <row r="112" spans="1:2" hidden="1" x14ac:dyDescent="0.25">
      <c r="A112" s="3" t="s">
        <v>66</v>
      </c>
      <c r="B112" s="5">
        <f>1416.67</f>
        <v>1416.67</v>
      </c>
    </row>
    <row r="113" spans="1:2" hidden="1" x14ac:dyDescent="0.25">
      <c r="A113" s="3" t="s">
        <v>67</v>
      </c>
      <c r="B113" s="5">
        <f>666.67</f>
        <v>666.67</v>
      </c>
    </row>
    <row r="114" spans="1:2" hidden="1" x14ac:dyDescent="0.25">
      <c r="A114" s="3" t="s">
        <v>68</v>
      </c>
      <c r="B114" s="6">
        <f>((B111)+(B112))+(B113)</f>
        <v>2083.34</v>
      </c>
    </row>
    <row r="115" spans="1:2" hidden="1" x14ac:dyDescent="0.25">
      <c r="A115" s="3" t="s">
        <v>69</v>
      </c>
      <c r="B115" s="5">
        <f>0</f>
        <v>0</v>
      </c>
    </row>
    <row r="116" spans="1:2" hidden="1" x14ac:dyDescent="0.25">
      <c r="A116" s="3" t="s">
        <v>70</v>
      </c>
      <c r="B116" s="5">
        <f>555.56</f>
        <v>555.55999999999995</v>
      </c>
    </row>
    <row r="117" spans="1:2" hidden="1" x14ac:dyDescent="0.25">
      <c r="A117" s="3" t="s">
        <v>71</v>
      </c>
      <c r="B117" s="5">
        <v>544.09</v>
      </c>
    </row>
    <row r="118" spans="1:2" hidden="1" x14ac:dyDescent="0.25">
      <c r="A118" s="3" t="s">
        <v>72</v>
      </c>
      <c r="B118" s="6">
        <f>(B116)+(B117)</f>
        <v>1099.6500000000001</v>
      </c>
    </row>
    <row r="119" spans="1:2" hidden="1" x14ac:dyDescent="0.25">
      <c r="A119" s="3" t="s">
        <v>73</v>
      </c>
      <c r="B119" s="6">
        <f>(B115)+(B118)</f>
        <v>1099.6500000000001</v>
      </c>
    </row>
    <row r="120" spans="1:2" x14ac:dyDescent="0.25">
      <c r="A120" s="3" t="s">
        <v>74</v>
      </c>
      <c r="B120" s="6">
        <f>((B110)+(B114))+(B119)</f>
        <v>3182.9900000000002</v>
      </c>
    </row>
    <row r="121" spans="1:2" x14ac:dyDescent="0.25">
      <c r="A121" s="3" t="s">
        <v>75</v>
      </c>
      <c r="B121" s="5">
        <f>0</f>
        <v>0</v>
      </c>
    </row>
    <row r="122" spans="1:2" x14ac:dyDescent="0.25">
      <c r="A122" s="3" t="s">
        <v>76</v>
      </c>
      <c r="B122" s="5">
        <v>1401.6</v>
      </c>
    </row>
    <row r="123" spans="1:2" x14ac:dyDescent="0.25">
      <c r="A123" s="3" t="s">
        <v>77</v>
      </c>
      <c r="B123" s="6">
        <f>(B121)+(B122)</f>
        <v>1401.6</v>
      </c>
    </row>
    <row r="124" spans="1:2" x14ac:dyDescent="0.25">
      <c r="A124" s="3" t="s">
        <v>78</v>
      </c>
      <c r="B124" s="6">
        <f>((B109)+(B120))+(B123)</f>
        <v>4584.59</v>
      </c>
    </row>
    <row r="125" spans="1:2" x14ac:dyDescent="0.25">
      <c r="A125" s="3" t="s">
        <v>79</v>
      </c>
      <c r="B125" s="5">
        <f>0</f>
        <v>0</v>
      </c>
    </row>
    <row r="126" spans="1:2" hidden="1" x14ac:dyDescent="0.25">
      <c r="A126" s="3" t="s">
        <v>80</v>
      </c>
      <c r="B126" s="5">
        <f>0</f>
        <v>0</v>
      </c>
    </row>
    <row r="127" spans="1:2" hidden="1" x14ac:dyDescent="0.25">
      <c r="A127" s="3" t="s">
        <v>81</v>
      </c>
      <c r="B127" s="5">
        <f>0</f>
        <v>0</v>
      </c>
    </row>
    <row r="128" spans="1:2" hidden="1" x14ac:dyDescent="0.25">
      <c r="A128" s="3" t="s">
        <v>82</v>
      </c>
      <c r="B128" s="5">
        <f>1416.66</f>
        <v>1416.66</v>
      </c>
    </row>
    <row r="129" spans="1:2" hidden="1" x14ac:dyDescent="0.25">
      <c r="A129" s="3" t="s">
        <v>83</v>
      </c>
      <c r="B129" s="5">
        <f>666.66</f>
        <v>666.66</v>
      </c>
    </row>
    <row r="130" spans="1:2" hidden="1" x14ac:dyDescent="0.25">
      <c r="A130" s="3" t="s">
        <v>84</v>
      </c>
      <c r="B130" s="6">
        <f>((B127)+(B128))+(B129)</f>
        <v>2083.3200000000002</v>
      </c>
    </row>
    <row r="131" spans="1:2" hidden="1" x14ac:dyDescent="0.25">
      <c r="A131" s="3" t="s">
        <v>85</v>
      </c>
      <c r="B131" s="5">
        <f>0</f>
        <v>0</v>
      </c>
    </row>
    <row r="132" spans="1:2" hidden="1" x14ac:dyDescent="0.25">
      <c r="A132" s="3" t="s">
        <v>86</v>
      </c>
      <c r="B132" s="5">
        <f>555.55</f>
        <v>555.54999999999995</v>
      </c>
    </row>
    <row r="133" spans="1:2" hidden="1" x14ac:dyDescent="0.25">
      <c r="A133" s="3" t="s">
        <v>87</v>
      </c>
      <c r="B133" s="5">
        <v>0</v>
      </c>
    </row>
    <row r="134" spans="1:2" hidden="1" x14ac:dyDescent="0.25">
      <c r="A134" s="3" t="s">
        <v>88</v>
      </c>
      <c r="B134" s="6">
        <f>(B132)+(B133)</f>
        <v>555.54999999999995</v>
      </c>
    </row>
    <row r="135" spans="1:2" hidden="1" x14ac:dyDescent="0.25">
      <c r="A135" s="3" t="s">
        <v>89</v>
      </c>
      <c r="B135" s="6">
        <f>(B131)+(B134)</f>
        <v>555.54999999999995</v>
      </c>
    </row>
    <row r="136" spans="1:2" hidden="1" x14ac:dyDescent="0.25">
      <c r="A136" s="3" t="s">
        <v>90</v>
      </c>
      <c r="B136" s="6">
        <f>((B126)+(B130))+(B135)</f>
        <v>2638.87</v>
      </c>
    </row>
    <row r="137" spans="1:2" x14ac:dyDescent="0.25">
      <c r="A137" s="3" t="s">
        <v>91</v>
      </c>
      <c r="B137" s="5">
        <f>300</f>
        <v>300</v>
      </c>
    </row>
    <row r="138" spans="1:2" x14ac:dyDescent="0.25">
      <c r="A138" s="3" t="s">
        <v>92</v>
      </c>
      <c r="B138" s="6">
        <f>((B125)+(B136))+(B137)</f>
        <v>2938.87</v>
      </c>
    </row>
    <row r="139" spans="1:2" ht="15" customHeight="1" x14ac:dyDescent="0.25">
      <c r="A139" s="3" t="s">
        <v>93</v>
      </c>
      <c r="B139" s="5">
        <f>0</f>
        <v>0</v>
      </c>
    </row>
    <row r="140" spans="1:2" x14ac:dyDescent="0.25">
      <c r="A140" s="3" t="s">
        <v>94</v>
      </c>
      <c r="B140" s="5">
        <f>0</f>
        <v>0</v>
      </c>
    </row>
    <row r="141" spans="1:2" hidden="1" x14ac:dyDescent="0.25">
      <c r="A141" s="3" t="s">
        <v>95</v>
      </c>
      <c r="B141" s="5">
        <f>0</f>
        <v>0</v>
      </c>
    </row>
    <row r="142" spans="1:2" hidden="1" x14ac:dyDescent="0.25">
      <c r="A142" s="3" t="s">
        <v>96</v>
      </c>
      <c r="B142" s="5">
        <f>1416.66</f>
        <v>1416.66</v>
      </c>
    </row>
    <row r="143" spans="1:2" hidden="1" x14ac:dyDescent="0.25">
      <c r="A143" s="3" t="s">
        <v>97</v>
      </c>
      <c r="B143" s="5">
        <f>666.68</f>
        <v>666.68</v>
      </c>
    </row>
    <row r="144" spans="1:2" hidden="1" x14ac:dyDescent="0.25">
      <c r="A144" s="3" t="s">
        <v>98</v>
      </c>
      <c r="B144" s="6">
        <f>((B141)+(B142))+(B143)</f>
        <v>2083.34</v>
      </c>
    </row>
    <row r="145" spans="1:2" hidden="1" x14ac:dyDescent="0.25">
      <c r="A145" s="3" t="s">
        <v>99</v>
      </c>
      <c r="B145" s="5">
        <f>0</f>
        <v>0</v>
      </c>
    </row>
    <row r="146" spans="1:2" hidden="1" x14ac:dyDescent="0.25">
      <c r="A146" s="3" t="s">
        <v>100</v>
      </c>
      <c r="B146" s="5">
        <v>0</v>
      </c>
    </row>
    <row r="147" spans="1:2" hidden="1" x14ac:dyDescent="0.25">
      <c r="A147" s="3" t="s">
        <v>101</v>
      </c>
      <c r="B147" s="5">
        <f>555.56</f>
        <v>555.55999999999995</v>
      </c>
    </row>
    <row r="148" spans="1:2" hidden="1" x14ac:dyDescent="0.25">
      <c r="A148" s="3" t="s">
        <v>102</v>
      </c>
      <c r="B148" s="5">
        <v>1680</v>
      </c>
    </row>
    <row r="149" spans="1:2" hidden="1" x14ac:dyDescent="0.25">
      <c r="A149" s="3" t="s">
        <v>103</v>
      </c>
      <c r="B149" s="6">
        <f>(B147)+(B148)</f>
        <v>2235.56</v>
      </c>
    </row>
    <row r="150" spans="1:2" hidden="1" x14ac:dyDescent="0.25">
      <c r="A150" s="3" t="s">
        <v>104</v>
      </c>
      <c r="B150" s="6">
        <f>((B145)+(B146))+(B149)</f>
        <v>2235.56</v>
      </c>
    </row>
    <row r="151" spans="1:2" x14ac:dyDescent="0.25">
      <c r="A151" s="3" t="s">
        <v>105</v>
      </c>
      <c r="B151" s="6">
        <f>((B140)+(B144))+(B150)</f>
        <v>4318.8999999999996</v>
      </c>
    </row>
    <row r="152" spans="1:2" x14ac:dyDescent="0.25">
      <c r="A152" s="3" t="s">
        <v>149</v>
      </c>
      <c r="B152" s="7">
        <v>1692</v>
      </c>
    </row>
    <row r="153" spans="1:2" x14ac:dyDescent="0.25">
      <c r="A153" s="3" t="s">
        <v>106</v>
      </c>
      <c r="B153" s="6">
        <f>(B139)+(B151)+B152</f>
        <v>6010.9</v>
      </c>
    </row>
    <row r="154" spans="1:2" x14ac:dyDescent="0.25">
      <c r="A154" s="3" t="s">
        <v>107</v>
      </c>
      <c r="B154" s="5">
        <f>0</f>
        <v>0</v>
      </c>
    </row>
    <row r="155" spans="1:2" hidden="1" x14ac:dyDescent="0.25">
      <c r="A155" s="3" t="s">
        <v>108</v>
      </c>
      <c r="B155" s="5">
        <f>0</f>
        <v>0</v>
      </c>
    </row>
    <row r="156" spans="1:2" hidden="1" x14ac:dyDescent="0.25">
      <c r="A156" s="3" t="s">
        <v>109</v>
      </c>
      <c r="B156" s="5">
        <f>1210</f>
        <v>1210</v>
      </c>
    </row>
    <row r="157" spans="1:2" x14ac:dyDescent="0.25">
      <c r="A157" s="3" t="s">
        <v>110</v>
      </c>
      <c r="B157" s="6">
        <f>(B155)+(B156)</f>
        <v>1210</v>
      </c>
    </row>
    <row r="158" spans="1:2" x14ac:dyDescent="0.25">
      <c r="A158" s="3" t="s">
        <v>111</v>
      </c>
      <c r="B158" s="5">
        <f>0</f>
        <v>0</v>
      </c>
    </row>
    <row r="159" spans="1:2" x14ac:dyDescent="0.25">
      <c r="A159" s="3" t="s">
        <v>264</v>
      </c>
      <c r="B159" s="5">
        <v>982.28</v>
      </c>
    </row>
    <row r="160" spans="1:2" x14ac:dyDescent="0.25">
      <c r="A160" s="3" t="s">
        <v>112</v>
      </c>
      <c r="B160" s="5">
        <v>658.03</v>
      </c>
    </row>
    <row r="161" spans="1:2" x14ac:dyDescent="0.25">
      <c r="A161" s="3" t="s">
        <v>113</v>
      </c>
      <c r="B161" s="6">
        <f>(B158)+(B160)+B159</f>
        <v>1640.31</v>
      </c>
    </row>
    <row r="162" spans="1:2" x14ac:dyDescent="0.25">
      <c r="A162" s="3" t="s">
        <v>114</v>
      </c>
      <c r="B162" s="5">
        <v>0</v>
      </c>
    </row>
    <row r="163" spans="1:2" x14ac:dyDescent="0.25">
      <c r="A163" s="3" t="s">
        <v>115</v>
      </c>
      <c r="B163" s="6">
        <f>(((B154)+(B157))+(B161))+(B162)</f>
        <v>2850.31</v>
      </c>
    </row>
    <row r="164" spans="1:2" hidden="1" x14ac:dyDescent="0.25">
      <c r="A164" s="3" t="s">
        <v>116</v>
      </c>
      <c r="B164" s="5">
        <f>-8852.56</f>
        <v>-8852.56</v>
      </c>
    </row>
    <row r="165" spans="1:2" hidden="1" x14ac:dyDescent="0.25">
      <c r="A165" s="3" t="s">
        <v>117</v>
      </c>
      <c r="B165" s="5">
        <f>57.37</f>
        <v>57.37</v>
      </c>
    </row>
    <row r="166" spans="1:2" hidden="1" x14ac:dyDescent="0.25">
      <c r="A166" s="3" t="s">
        <v>118</v>
      </c>
      <c r="B166" s="5">
        <f>8795.19</f>
        <v>8795.19</v>
      </c>
    </row>
    <row r="167" spans="1:2" x14ac:dyDescent="0.25">
      <c r="A167" s="3" t="s">
        <v>119</v>
      </c>
      <c r="B167" s="6">
        <f>((B164)+(B165))+(B166)</f>
        <v>0</v>
      </c>
    </row>
    <row r="168" spans="1:2" x14ac:dyDescent="0.25">
      <c r="A168" s="3" t="s">
        <v>120</v>
      </c>
      <c r="B168" s="6">
        <f>(((((B108)+(B124))+(B138))+(B153))+(B163))+(B167)</f>
        <v>23337.01</v>
      </c>
    </row>
    <row r="169" spans="1:2" x14ac:dyDescent="0.25">
      <c r="A169" s="3" t="s">
        <v>121</v>
      </c>
      <c r="B169" s="11">
        <f>(B71)-(B168)</f>
        <v>3159.1500000000051</v>
      </c>
    </row>
    <row r="170" spans="1:2" x14ac:dyDescent="0.25">
      <c r="A170" s="3" t="s">
        <v>122</v>
      </c>
      <c r="B170" s="12">
        <f>(B169)+(0)</f>
        <v>3159.1500000000051</v>
      </c>
    </row>
    <row r="171" spans="1:2" x14ac:dyDescent="0.25">
      <c r="A171" s="3"/>
      <c r="B171" s="4"/>
    </row>
    <row r="174" spans="1:2" x14ac:dyDescent="0.25">
      <c r="A174" s="15"/>
      <c r="B174" s="16"/>
    </row>
  </sheetData>
  <mergeCells count="4">
    <mergeCell ref="A174:B174"/>
    <mergeCell ref="A1:B1"/>
    <mergeCell ref="A2:B2"/>
    <mergeCell ref="A3:B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12D0-582A-40EA-9823-778AEE0B04A4}">
  <sheetPr>
    <pageSetUpPr fitToPage="1"/>
  </sheetPr>
  <dimension ref="A1:G221"/>
  <sheetViews>
    <sheetView tabSelected="1" topLeftCell="A74" workbookViewId="0">
      <selection activeCell="A78" sqref="A78:XFD78"/>
    </sheetView>
  </sheetViews>
  <sheetFormatPr defaultRowHeight="15" x14ac:dyDescent="0.25"/>
  <cols>
    <col min="1" max="1" width="64" customWidth="1"/>
    <col min="2" max="3" width="10.42578125" bestFit="1" customWidth="1"/>
    <col min="4" max="4" width="11" bestFit="1" customWidth="1"/>
    <col min="5" max="5" width="10.42578125" bestFit="1" customWidth="1"/>
    <col min="7" max="7" width="10.5703125" customWidth="1"/>
  </cols>
  <sheetData>
    <row r="1" spans="1:7" ht="18" x14ac:dyDescent="0.25">
      <c r="A1" s="17" t="s">
        <v>125</v>
      </c>
      <c r="B1" s="16"/>
      <c r="C1" s="16"/>
      <c r="D1" s="16"/>
      <c r="E1" s="16"/>
      <c r="F1" s="16"/>
      <c r="G1" s="16"/>
    </row>
    <row r="2" spans="1:7" ht="18" x14ac:dyDescent="0.25">
      <c r="A2" s="17" t="s">
        <v>126</v>
      </c>
      <c r="B2" s="17"/>
      <c r="C2" s="17"/>
      <c r="D2" s="17"/>
      <c r="E2" s="17"/>
      <c r="F2" s="17"/>
      <c r="G2" s="17"/>
    </row>
    <row r="3" spans="1:7" x14ac:dyDescent="0.25">
      <c r="A3" s="19" t="s">
        <v>260</v>
      </c>
      <c r="B3" s="16"/>
      <c r="C3" s="16"/>
      <c r="D3" s="16"/>
      <c r="E3" s="16"/>
      <c r="F3" s="16"/>
      <c r="G3" s="16"/>
    </row>
    <row r="4" spans="1:7" x14ac:dyDescent="0.25">
      <c r="A4" s="8"/>
      <c r="B4" s="20" t="s">
        <v>0</v>
      </c>
      <c r="C4" s="20"/>
      <c r="D4" s="20"/>
      <c r="E4" s="20"/>
      <c r="F4" s="20"/>
      <c r="G4" s="20"/>
    </row>
    <row r="5" spans="1:7" ht="26.25" customHeight="1" x14ac:dyDescent="0.25">
      <c r="A5" s="8"/>
      <c r="B5" s="2" t="s">
        <v>157</v>
      </c>
      <c r="C5" s="2" t="s">
        <v>158</v>
      </c>
      <c r="D5" s="2" t="s">
        <v>159</v>
      </c>
      <c r="E5" s="2" t="s">
        <v>160</v>
      </c>
      <c r="F5" s="2" t="s">
        <v>161</v>
      </c>
      <c r="G5" s="2" t="s">
        <v>162</v>
      </c>
    </row>
    <row r="6" spans="1:7" x14ac:dyDescent="0.25">
      <c r="A6" s="3" t="s">
        <v>1</v>
      </c>
      <c r="B6" s="4"/>
      <c r="C6" s="4"/>
      <c r="D6" s="4"/>
      <c r="E6" s="4"/>
      <c r="F6" s="4"/>
      <c r="G6" s="4"/>
    </row>
    <row r="7" spans="1:7" x14ac:dyDescent="0.25">
      <c r="A7" s="3" t="s">
        <v>2</v>
      </c>
      <c r="B7" s="4"/>
      <c r="C7" s="5">
        <f>242625.09</f>
        <v>242625.09</v>
      </c>
      <c r="D7" s="5">
        <f t="shared" ref="D7:D75" si="0">(B7)-(C7)</f>
        <v>-242625.09</v>
      </c>
      <c r="E7" s="5">
        <f t="shared" ref="E7:E75" si="1">(C7)-(B7)</f>
        <v>242625.09</v>
      </c>
      <c r="F7" s="9">
        <f t="shared" ref="F7:F75" si="2">IF(C7=0,"",(B7)/(C7))</f>
        <v>0</v>
      </c>
      <c r="G7" s="9">
        <f t="shared" ref="G7:G75" si="3">IF(C7=0,"",(E7)/(C7))</f>
        <v>1</v>
      </c>
    </row>
    <row r="8" spans="1:7" x14ac:dyDescent="0.25">
      <c r="A8" s="3" t="s">
        <v>3</v>
      </c>
      <c r="B8" s="5">
        <v>8520</v>
      </c>
      <c r="C8" s="4"/>
      <c r="D8" s="5">
        <f t="shared" si="0"/>
        <v>8520</v>
      </c>
      <c r="E8" s="5">
        <f t="shared" si="1"/>
        <v>-8520</v>
      </c>
      <c r="F8" s="9" t="str">
        <f t="shared" si="2"/>
        <v/>
      </c>
      <c r="G8" s="9" t="str">
        <f t="shared" si="3"/>
        <v/>
      </c>
    </row>
    <row r="9" spans="1:7" x14ac:dyDescent="0.25">
      <c r="A9" s="3" t="s">
        <v>4</v>
      </c>
      <c r="B9" s="5">
        <v>910</v>
      </c>
      <c r="C9" s="4"/>
      <c r="D9" s="5">
        <f t="shared" si="0"/>
        <v>910</v>
      </c>
      <c r="E9" s="5">
        <f t="shared" si="1"/>
        <v>-910</v>
      </c>
      <c r="F9" s="9" t="str">
        <f t="shared" si="2"/>
        <v/>
      </c>
      <c r="G9" s="9" t="str">
        <f t="shared" si="3"/>
        <v/>
      </c>
    </row>
    <row r="10" spans="1:7" x14ac:dyDescent="0.25">
      <c r="A10" s="3" t="s">
        <v>127</v>
      </c>
      <c r="B10" s="5">
        <f>100</f>
        <v>100</v>
      </c>
      <c r="C10" s="4"/>
      <c r="D10" s="5">
        <f t="shared" si="0"/>
        <v>100</v>
      </c>
      <c r="E10" s="5">
        <f t="shared" si="1"/>
        <v>-100</v>
      </c>
      <c r="F10" s="9" t="str">
        <f t="shared" si="2"/>
        <v/>
      </c>
      <c r="G10" s="9" t="str">
        <f t="shared" si="3"/>
        <v/>
      </c>
    </row>
    <row r="11" spans="1:7" x14ac:dyDescent="0.25">
      <c r="A11" s="3" t="s">
        <v>5</v>
      </c>
      <c r="B11" s="5">
        <v>2966.67</v>
      </c>
      <c r="C11" s="4"/>
      <c r="D11" s="5">
        <f t="shared" si="0"/>
        <v>2966.67</v>
      </c>
      <c r="E11" s="5">
        <f t="shared" si="1"/>
        <v>-2966.67</v>
      </c>
      <c r="F11" s="9" t="str">
        <f t="shared" si="2"/>
        <v/>
      </c>
      <c r="G11" s="9" t="str">
        <f t="shared" si="3"/>
        <v/>
      </c>
    </row>
    <row r="12" spans="1:7" x14ac:dyDescent="0.25">
      <c r="A12" s="3" t="s">
        <v>6</v>
      </c>
      <c r="B12" s="5">
        <v>469.76</v>
      </c>
      <c r="C12" s="4"/>
      <c r="D12" s="5">
        <f t="shared" si="0"/>
        <v>469.76</v>
      </c>
      <c r="E12" s="5">
        <f t="shared" si="1"/>
        <v>-469.76</v>
      </c>
      <c r="F12" s="9" t="str">
        <f t="shared" si="2"/>
        <v/>
      </c>
      <c r="G12" s="9" t="str">
        <f t="shared" si="3"/>
        <v/>
      </c>
    </row>
    <row r="13" spans="1:7" x14ac:dyDescent="0.25">
      <c r="A13" s="3" t="s">
        <v>128</v>
      </c>
      <c r="B13" s="5">
        <v>50</v>
      </c>
      <c r="C13" s="4"/>
      <c r="D13" s="5">
        <f t="shared" si="0"/>
        <v>50</v>
      </c>
      <c r="E13" s="5">
        <f t="shared" si="1"/>
        <v>-50</v>
      </c>
      <c r="F13" s="9" t="str">
        <f t="shared" si="2"/>
        <v/>
      </c>
      <c r="G13" s="9" t="str">
        <f t="shared" si="3"/>
        <v/>
      </c>
    </row>
    <row r="14" spans="1:7" x14ac:dyDescent="0.25">
      <c r="A14" s="3" t="s">
        <v>7</v>
      </c>
      <c r="B14" s="5">
        <v>1033.6600000000001</v>
      </c>
      <c r="C14" s="4"/>
      <c r="D14" s="5">
        <f t="shared" si="0"/>
        <v>1033.6600000000001</v>
      </c>
      <c r="E14" s="5">
        <f t="shared" si="1"/>
        <v>-1033.6600000000001</v>
      </c>
      <c r="F14" s="9" t="str">
        <f t="shared" si="2"/>
        <v/>
      </c>
      <c r="G14" s="9" t="str">
        <f t="shared" si="3"/>
        <v/>
      </c>
    </row>
    <row r="15" spans="1:7" x14ac:dyDescent="0.25">
      <c r="A15" s="3" t="s">
        <v>129</v>
      </c>
      <c r="B15" s="5">
        <v>1000</v>
      </c>
      <c r="C15" s="4"/>
      <c r="D15" s="5">
        <f t="shared" si="0"/>
        <v>1000</v>
      </c>
      <c r="E15" s="5">
        <f t="shared" si="1"/>
        <v>-1000</v>
      </c>
      <c r="F15" s="9" t="str">
        <f t="shared" si="2"/>
        <v/>
      </c>
      <c r="G15" s="9" t="str">
        <f t="shared" si="3"/>
        <v/>
      </c>
    </row>
    <row r="16" spans="1:7" x14ac:dyDescent="0.25">
      <c r="A16" s="3" t="s">
        <v>8</v>
      </c>
      <c r="B16" s="5">
        <v>500</v>
      </c>
      <c r="C16" s="4"/>
      <c r="D16" s="5">
        <f t="shared" si="0"/>
        <v>500</v>
      </c>
      <c r="E16" s="5">
        <f t="shared" si="1"/>
        <v>-500</v>
      </c>
      <c r="F16" s="9" t="str">
        <f t="shared" si="2"/>
        <v/>
      </c>
      <c r="G16" s="9" t="str">
        <f t="shared" si="3"/>
        <v/>
      </c>
    </row>
    <row r="17" spans="1:7" x14ac:dyDescent="0.25">
      <c r="A17" s="3" t="s">
        <v>9</v>
      </c>
      <c r="B17" s="5">
        <v>125</v>
      </c>
      <c r="C17" s="4"/>
      <c r="D17" s="5">
        <f t="shared" si="0"/>
        <v>125</v>
      </c>
      <c r="E17" s="5">
        <f t="shared" si="1"/>
        <v>-125</v>
      </c>
      <c r="F17" s="9" t="str">
        <f t="shared" si="2"/>
        <v/>
      </c>
      <c r="G17" s="9" t="str">
        <f t="shared" si="3"/>
        <v/>
      </c>
    </row>
    <row r="18" spans="1:7" x14ac:dyDescent="0.25">
      <c r="A18" s="3" t="s">
        <v>257</v>
      </c>
      <c r="B18" s="5">
        <v>400</v>
      </c>
      <c r="C18" s="4"/>
      <c r="D18" s="5">
        <f t="shared" si="0"/>
        <v>400</v>
      </c>
      <c r="E18" s="5">
        <f t="shared" si="1"/>
        <v>-400</v>
      </c>
      <c r="F18" s="9" t="str">
        <f t="shared" si="2"/>
        <v/>
      </c>
      <c r="G18" s="9" t="str">
        <f t="shared" si="3"/>
        <v/>
      </c>
    </row>
    <row r="19" spans="1:7" x14ac:dyDescent="0.25">
      <c r="A19" s="3" t="s">
        <v>130</v>
      </c>
      <c r="B19" s="5">
        <v>649.14</v>
      </c>
      <c r="C19" s="4"/>
      <c r="D19" s="5">
        <f t="shared" si="0"/>
        <v>649.14</v>
      </c>
      <c r="E19" s="5">
        <f t="shared" si="1"/>
        <v>-649.14</v>
      </c>
      <c r="F19" s="9" t="str">
        <f t="shared" si="2"/>
        <v/>
      </c>
      <c r="G19" s="9" t="str">
        <f t="shared" si="3"/>
        <v/>
      </c>
    </row>
    <row r="20" spans="1:7" x14ac:dyDescent="0.25">
      <c r="A20" s="3" t="s">
        <v>10</v>
      </c>
      <c r="B20" s="5">
        <v>732</v>
      </c>
      <c r="C20" s="4"/>
      <c r="D20" s="5">
        <f t="shared" si="0"/>
        <v>732</v>
      </c>
      <c r="E20" s="5">
        <f t="shared" si="1"/>
        <v>-732</v>
      </c>
      <c r="F20" s="9" t="str">
        <f t="shared" si="2"/>
        <v/>
      </c>
      <c r="G20" s="9" t="str">
        <f t="shared" si="3"/>
        <v/>
      </c>
    </row>
    <row r="21" spans="1:7" x14ac:dyDescent="0.25">
      <c r="A21" s="3" t="s">
        <v>131</v>
      </c>
      <c r="B21" s="5">
        <v>2000</v>
      </c>
      <c r="C21" s="4"/>
      <c r="D21" s="5">
        <f t="shared" si="0"/>
        <v>2000</v>
      </c>
      <c r="E21" s="5">
        <f t="shared" si="1"/>
        <v>-2000</v>
      </c>
      <c r="F21" s="9" t="str">
        <f t="shared" si="2"/>
        <v/>
      </c>
      <c r="G21" s="9" t="str">
        <f t="shared" si="3"/>
        <v/>
      </c>
    </row>
    <row r="22" spans="1:7" x14ac:dyDescent="0.25">
      <c r="A22" s="3" t="s">
        <v>11</v>
      </c>
      <c r="B22" s="5">
        <v>4332.8500000000004</v>
      </c>
      <c r="C22" s="4"/>
      <c r="D22" s="5">
        <f t="shared" si="0"/>
        <v>4332.8500000000004</v>
      </c>
      <c r="E22" s="5">
        <f t="shared" si="1"/>
        <v>-4332.8500000000004</v>
      </c>
      <c r="F22" s="9" t="str">
        <f t="shared" si="2"/>
        <v/>
      </c>
      <c r="G22" s="9" t="str">
        <f t="shared" si="3"/>
        <v/>
      </c>
    </row>
    <row r="23" spans="1:7" x14ac:dyDescent="0.25">
      <c r="A23" s="13" t="s">
        <v>250</v>
      </c>
      <c r="B23" s="5">
        <v>600</v>
      </c>
      <c r="C23" s="4"/>
      <c r="D23" s="5">
        <f t="shared" si="0"/>
        <v>600</v>
      </c>
      <c r="E23" s="5">
        <f t="shared" si="1"/>
        <v>-600</v>
      </c>
      <c r="F23" s="9" t="str">
        <f t="shared" si="2"/>
        <v/>
      </c>
      <c r="G23" s="9" t="str">
        <f t="shared" si="3"/>
        <v/>
      </c>
    </row>
    <row r="24" spans="1:7" x14ac:dyDescent="0.25">
      <c r="A24" s="3" t="s">
        <v>132</v>
      </c>
      <c r="B24" s="5">
        <f>1000</f>
        <v>1000</v>
      </c>
      <c r="C24" s="4"/>
      <c r="D24" s="5">
        <f t="shared" si="0"/>
        <v>1000</v>
      </c>
      <c r="E24" s="5">
        <f t="shared" si="1"/>
        <v>-1000</v>
      </c>
      <c r="F24" s="9" t="str">
        <f t="shared" si="2"/>
        <v/>
      </c>
      <c r="G24" s="9" t="str">
        <f t="shared" si="3"/>
        <v/>
      </c>
    </row>
    <row r="25" spans="1:7" x14ac:dyDescent="0.25">
      <c r="A25" s="3" t="s">
        <v>12</v>
      </c>
      <c r="B25" s="5">
        <v>1210</v>
      </c>
      <c r="C25" s="4"/>
      <c r="D25" s="5">
        <f t="shared" si="0"/>
        <v>1210</v>
      </c>
      <c r="E25" s="5">
        <f t="shared" si="1"/>
        <v>-1210</v>
      </c>
      <c r="F25" s="9" t="str">
        <f t="shared" si="2"/>
        <v/>
      </c>
      <c r="G25" s="9" t="str">
        <f t="shared" si="3"/>
        <v/>
      </c>
    </row>
    <row r="26" spans="1:7" x14ac:dyDescent="0.25">
      <c r="A26" s="3" t="s">
        <v>13</v>
      </c>
      <c r="B26" s="5">
        <v>1088.74</v>
      </c>
      <c r="C26" s="4"/>
      <c r="D26" s="5">
        <f t="shared" si="0"/>
        <v>1088.74</v>
      </c>
      <c r="E26" s="5">
        <f t="shared" si="1"/>
        <v>-1088.74</v>
      </c>
      <c r="F26" s="9" t="str">
        <f t="shared" si="2"/>
        <v/>
      </c>
      <c r="G26" s="9" t="str">
        <f t="shared" si="3"/>
        <v/>
      </c>
    </row>
    <row r="27" spans="1:7" x14ac:dyDescent="0.25">
      <c r="A27" s="3" t="s">
        <v>133</v>
      </c>
      <c r="B27" s="5">
        <v>210</v>
      </c>
      <c r="C27" s="4"/>
      <c r="D27" s="5">
        <f t="shared" si="0"/>
        <v>210</v>
      </c>
      <c r="E27" s="5">
        <f t="shared" si="1"/>
        <v>-210</v>
      </c>
      <c r="F27" s="9" t="str">
        <f t="shared" si="2"/>
        <v/>
      </c>
      <c r="G27" s="9" t="str">
        <f t="shared" si="3"/>
        <v/>
      </c>
    </row>
    <row r="28" spans="1:7" x14ac:dyDescent="0.25">
      <c r="A28" s="3" t="s">
        <v>14</v>
      </c>
      <c r="B28" s="5">
        <v>833.32</v>
      </c>
      <c r="C28" s="4"/>
      <c r="D28" s="5">
        <f t="shared" si="0"/>
        <v>833.32</v>
      </c>
      <c r="E28" s="5">
        <f t="shared" si="1"/>
        <v>-833.32</v>
      </c>
      <c r="F28" s="9" t="str">
        <f t="shared" si="2"/>
        <v/>
      </c>
      <c r="G28" s="9" t="str">
        <f t="shared" si="3"/>
        <v/>
      </c>
    </row>
    <row r="29" spans="1:7" x14ac:dyDescent="0.25">
      <c r="A29" s="13" t="s">
        <v>251</v>
      </c>
      <c r="B29" s="5">
        <v>625</v>
      </c>
      <c r="C29" s="4"/>
      <c r="D29" s="5">
        <f t="shared" si="0"/>
        <v>625</v>
      </c>
      <c r="E29" s="5">
        <f t="shared" si="1"/>
        <v>-625</v>
      </c>
      <c r="F29" s="9" t="str">
        <f t="shared" si="2"/>
        <v/>
      </c>
      <c r="G29" s="9" t="str">
        <f t="shared" si="3"/>
        <v/>
      </c>
    </row>
    <row r="30" spans="1:7" x14ac:dyDescent="0.25">
      <c r="A30" s="3" t="s">
        <v>15</v>
      </c>
      <c r="B30" s="5">
        <v>1200</v>
      </c>
      <c r="C30" s="4"/>
      <c r="D30" s="5">
        <f t="shared" si="0"/>
        <v>1200</v>
      </c>
      <c r="E30" s="5">
        <f t="shared" si="1"/>
        <v>-1200</v>
      </c>
      <c r="F30" s="9" t="str">
        <f t="shared" si="2"/>
        <v/>
      </c>
      <c r="G30" s="9" t="str">
        <f t="shared" si="3"/>
        <v/>
      </c>
    </row>
    <row r="31" spans="1:7" x14ac:dyDescent="0.25">
      <c r="A31" s="3" t="s">
        <v>134</v>
      </c>
      <c r="B31" s="5">
        <v>2861.25</v>
      </c>
      <c r="C31" s="4"/>
      <c r="D31" s="5">
        <f t="shared" si="0"/>
        <v>2861.25</v>
      </c>
      <c r="E31" s="5">
        <f t="shared" si="1"/>
        <v>-2861.25</v>
      </c>
      <c r="F31" s="9" t="str">
        <f t="shared" si="2"/>
        <v/>
      </c>
      <c r="G31" s="9" t="str">
        <f t="shared" si="3"/>
        <v/>
      </c>
    </row>
    <row r="32" spans="1:7" x14ac:dyDescent="0.25">
      <c r="A32" s="3" t="s">
        <v>16</v>
      </c>
      <c r="B32" s="5">
        <v>300</v>
      </c>
      <c r="C32" s="4"/>
      <c r="D32" s="5">
        <f t="shared" si="0"/>
        <v>300</v>
      </c>
      <c r="E32" s="5">
        <f t="shared" si="1"/>
        <v>-300</v>
      </c>
      <c r="F32" s="9" t="str">
        <f t="shared" si="2"/>
        <v/>
      </c>
      <c r="G32" s="9" t="str">
        <f t="shared" si="3"/>
        <v/>
      </c>
    </row>
    <row r="33" spans="1:7" x14ac:dyDescent="0.25">
      <c r="A33" s="3" t="s">
        <v>17</v>
      </c>
      <c r="B33" s="5">
        <v>700</v>
      </c>
      <c r="C33" s="4"/>
      <c r="D33" s="5">
        <f t="shared" si="0"/>
        <v>700</v>
      </c>
      <c r="E33" s="5">
        <f t="shared" si="1"/>
        <v>-700</v>
      </c>
      <c r="F33" s="9" t="str">
        <f t="shared" si="2"/>
        <v/>
      </c>
      <c r="G33" s="9" t="str">
        <f t="shared" si="3"/>
        <v/>
      </c>
    </row>
    <row r="34" spans="1:7" x14ac:dyDescent="0.25">
      <c r="A34" s="3" t="s">
        <v>18</v>
      </c>
      <c r="B34" s="5">
        <v>2008.92</v>
      </c>
      <c r="C34" s="4"/>
      <c r="D34" s="5">
        <f t="shared" si="0"/>
        <v>2008.92</v>
      </c>
      <c r="E34" s="5">
        <f t="shared" si="1"/>
        <v>-2008.92</v>
      </c>
      <c r="F34" s="9" t="str">
        <f t="shared" si="2"/>
        <v/>
      </c>
      <c r="G34" s="9" t="str">
        <f t="shared" si="3"/>
        <v/>
      </c>
    </row>
    <row r="35" spans="1:7" x14ac:dyDescent="0.25">
      <c r="A35" s="3" t="s">
        <v>19</v>
      </c>
      <c r="B35" s="5">
        <v>360</v>
      </c>
      <c r="C35" s="4"/>
      <c r="D35" s="5">
        <f t="shared" si="0"/>
        <v>360</v>
      </c>
      <c r="E35" s="5">
        <f t="shared" si="1"/>
        <v>-360</v>
      </c>
      <c r="F35" s="9" t="str">
        <f t="shared" si="2"/>
        <v/>
      </c>
      <c r="G35" s="9" t="str">
        <f t="shared" si="3"/>
        <v/>
      </c>
    </row>
    <row r="36" spans="1:7" x14ac:dyDescent="0.25">
      <c r="A36" s="3" t="s">
        <v>20</v>
      </c>
      <c r="B36" s="5">
        <v>1000</v>
      </c>
      <c r="C36" s="4"/>
      <c r="D36" s="5">
        <f t="shared" si="0"/>
        <v>1000</v>
      </c>
      <c r="E36" s="5">
        <f t="shared" si="1"/>
        <v>-1000</v>
      </c>
      <c r="F36" s="9" t="str">
        <f t="shared" si="2"/>
        <v/>
      </c>
      <c r="G36" s="9" t="str">
        <f t="shared" si="3"/>
        <v/>
      </c>
    </row>
    <row r="37" spans="1:7" x14ac:dyDescent="0.25">
      <c r="A37" s="3" t="s">
        <v>21</v>
      </c>
      <c r="B37" s="5">
        <v>18414.96</v>
      </c>
      <c r="C37" s="4"/>
      <c r="D37" s="5">
        <f t="shared" si="0"/>
        <v>18414.96</v>
      </c>
      <c r="E37" s="5">
        <f t="shared" si="1"/>
        <v>-18414.96</v>
      </c>
      <c r="F37" s="9" t="str">
        <f t="shared" si="2"/>
        <v/>
      </c>
      <c r="G37" s="9" t="str">
        <f t="shared" si="3"/>
        <v/>
      </c>
    </row>
    <row r="38" spans="1:7" x14ac:dyDescent="0.25">
      <c r="A38" s="3" t="s">
        <v>22</v>
      </c>
      <c r="B38" s="5">
        <v>1359.52</v>
      </c>
      <c r="C38" s="4"/>
      <c r="D38" s="5">
        <f t="shared" si="0"/>
        <v>1359.52</v>
      </c>
      <c r="E38" s="5">
        <f t="shared" si="1"/>
        <v>-1359.52</v>
      </c>
      <c r="F38" s="9" t="str">
        <f t="shared" si="2"/>
        <v/>
      </c>
      <c r="G38" s="9" t="str">
        <f t="shared" si="3"/>
        <v/>
      </c>
    </row>
    <row r="39" spans="1:7" x14ac:dyDescent="0.25">
      <c r="A39" s="3" t="s">
        <v>23</v>
      </c>
      <c r="B39" s="5">
        <v>870.52</v>
      </c>
      <c r="C39" s="4"/>
      <c r="D39" s="5">
        <f t="shared" si="0"/>
        <v>870.52</v>
      </c>
      <c r="E39" s="5">
        <f t="shared" si="1"/>
        <v>-870.52</v>
      </c>
      <c r="F39" s="9" t="str">
        <f t="shared" si="2"/>
        <v/>
      </c>
      <c r="G39" s="9" t="str">
        <f t="shared" si="3"/>
        <v/>
      </c>
    </row>
    <row r="40" spans="1:7" x14ac:dyDescent="0.25">
      <c r="A40" s="3" t="s">
        <v>24</v>
      </c>
      <c r="B40" s="7">
        <f>((B37)+(B38))+(B39)</f>
        <v>20645</v>
      </c>
      <c r="C40" s="7">
        <f>((C37)+(C38))+(C39)</f>
        <v>0</v>
      </c>
      <c r="D40" s="7">
        <f t="shared" si="0"/>
        <v>20645</v>
      </c>
      <c r="E40" s="7">
        <f t="shared" si="1"/>
        <v>-20645</v>
      </c>
      <c r="F40" s="10" t="str">
        <f t="shared" si="2"/>
        <v/>
      </c>
      <c r="G40" s="10" t="str">
        <f t="shared" si="3"/>
        <v/>
      </c>
    </row>
    <row r="41" spans="1:7" x14ac:dyDescent="0.25">
      <c r="A41" s="3" t="s">
        <v>135</v>
      </c>
      <c r="B41" s="5">
        <v>495.4</v>
      </c>
      <c r="C41" s="4"/>
      <c r="D41" s="5">
        <f t="shared" si="0"/>
        <v>495.4</v>
      </c>
      <c r="E41" s="5">
        <f t="shared" si="1"/>
        <v>-495.4</v>
      </c>
      <c r="F41" s="9" t="str">
        <f t="shared" si="2"/>
        <v/>
      </c>
      <c r="G41" s="9" t="str">
        <f t="shared" si="3"/>
        <v/>
      </c>
    </row>
    <row r="42" spans="1:7" x14ac:dyDescent="0.25">
      <c r="A42" s="3" t="s">
        <v>25</v>
      </c>
      <c r="B42" s="5">
        <v>300</v>
      </c>
      <c r="C42" s="4"/>
      <c r="D42" s="5"/>
      <c r="E42" s="5"/>
      <c r="F42" s="9"/>
      <c r="G42" s="9"/>
    </row>
    <row r="43" spans="1:7" x14ac:dyDescent="0.25">
      <c r="A43" s="13" t="s">
        <v>252</v>
      </c>
      <c r="B43" s="5">
        <v>400</v>
      </c>
      <c r="C43" s="4"/>
      <c r="D43" s="5"/>
      <c r="E43" s="5"/>
      <c r="F43" s="9"/>
      <c r="G43" s="9"/>
    </row>
    <row r="44" spans="1:7" x14ac:dyDescent="0.25">
      <c r="A44" s="3" t="s">
        <v>26</v>
      </c>
      <c r="B44" s="5">
        <v>766.6</v>
      </c>
      <c r="C44" s="4"/>
      <c r="D44" s="5">
        <f t="shared" si="0"/>
        <v>766.6</v>
      </c>
      <c r="E44" s="5">
        <f t="shared" si="1"/>
        <v>-766.6</v>
      </c>
      <c r="F44" s="9" t="str">
        <f t="shared" si="2"/>
        <v/>
      </c>
      <c r="G44" s="9" t="str">
        <f t="shared" si="3"/>
        <v/>
      </c>
    </row>
    <row r="45" spans="1:7" x14ac:dyDescent="0.25">
      <c r="A45" s="3" t="s">
        <v>27</v>
      </c>
      <c r="B45" s="5">
        <v>443.93</v>
      </c>
      <c r="C45" s="4"/>
      <c r="D45" s="5">
        <f t="shared" si="0"/>
        <v>443.93</v>
      </c>
      <c r="E45" s="5">
        <f t="shared" si="1"/>
        <v>-443.93</v>
      </c>
      <c r="F45" s="9" t="str">
        <f t="shared" si="2"/>
        <v/>
      </c>
      <c r="G45" s="9" t="str">
        <f t="shared" si="3"/>
        <v/>
      </c>
    </row>
    <row r="46" spans="1:7" x14ac:dyDescent="0.25">
      <c r="A46" s="3" t="s">
        <v>28</v>
      </c>
      <c r="B46" s="5">
        <v>255.98</v>
      </c>
      <c r="C46" s="4"/>
      <c r="D46" s="5">
        <f t="shared" si="0"/>
        <v>255.98</v>
      </c>
      <c r="E46" s="5">
        <f t="shared" si="1"/>
        <v>-255.98</v>
      </c>
      <c r="F46" s="9" t="str">
        <f t="shared" si="2"/>
        <v/>
      </c>
      <c r="G46" s="9" t="str">
        <f t="shared" si="3"/>
        <v/>
      </c>
    </row>
    <row r="47" spans="1:7" x14ac:dyDescent="0.25">
      <c r="A47" s="3" t="s">
        <v>29</v>
      </c>
      <c r="B47" s="5">
        <v>2000</v>
      </c>
      <c r="C47" s="4"/>
      <c r="D47" s="5">
        <f t="shared" si="0"/>
        <v>2000</v>
      </c>
      <c r="E47" s="5">
        <f t="shared" si="1"/>
        <v>-2000</v>
      </c>
      <c r="F47" s="9" t="str">
        <f t="shared" si="2"/>
        <v/>
      </c>
      <c r="G47" s="9" t="str">
        <f t="shared" si="3"/>
        <v/>
      </c>
    </row>
    <row r="48" spans="1:7" x14ac:dyDescent="0.25">
      <c r="A48" s="3" t="s">
        <v>30</v>
      </c>
      <c r="B48" s="5">
        <v>2680.56</v>
      </c>
      <c r="C48" s="4"/>
      <c r="D48" s="5">
        <f t="shared" si="0"/>
        <v>2680.56</v>
      </c>
      <c r="E48" s="5">
        <f t="shared" si="1"/>
        <v>-2680.56</v>
      </c>
      <c r="F48" s="9" t="str">
        <f t="shared" si="2"/>
        <v/>
      </c>
      <c r="G48" s="9" t="str">
        <f t="shared" si="3"/>
        <v/>
      </c>
    </row>
    <row r="49" spans="1:7" x14ac:dyDescent="0.25">
      <c r="A49" s="3" t="s">
        <v>31</v>
      </c>
      <c r="B49" s="5">
        <v>1200</v>
      </c>
      <c r="C49" s="4"/>
      <c r="D49" s="5">
        <f t="shared" si="0"/>
        <v>1200</v>
      </c>
      <c r="E49" s="5">
        <f t="shared" si="1"/>
        <v>-1200</v>
      </c>
      <c r="F49" s="9" t="str">
        <f t="shared" si="2"/>
        <v/>
      </c>
      <c r="G49" s="9" t="str">
        <f t="shared" si="3"/>
        <v/>
      </c>
    </row>
    <row r="50" spans="1:7" x14ac:dyDescent="0.25">
      <c r="A50" s="3" t="s">
        <v>32</v>
      </c>
      <c r="B50" s="5">
        <v>344.22</v>
      </c>
      <c r="C50" s="4"/>
      <c r="D50" s="5">
        <f t="shared" si="0"/>
        <v>344.22</v>
      </c>
      <c r="E50" s="5">
        <f t="shared" si="1"/>
        <v>-344.22</v>
      </c>
      <c r="F50" s="9" t="str">
        <f t="shared" si="2"/>
        <v/>
      </c>
      <c r="G50" s="9" t="str">
        <f t="shared" si="3"/>
        <v/>
      </c>
    </row>
    <row r="51" spans="1:7" x14ac:dyDescent="0.25">
      <c r="A51" s="3" t="s">
        <v>33</v>
      </c>
      <c r="B51" s="5">
        <v>1184.73</v>
      </c>
      <c r="C51" s="4"/>
      <c r="D51" s="5">
        <f t="shared" si="0"/>
        <v>1184.73</v>
      </c>
      <c r="E51" s="5">
        <f t="shared" si="1"/>
        <v>-1184.73</v>
      </c>
      <c r="F51" s="9" t="str">
        <f t="shared" si="2"/>
        <v/>
      </c>
      <c r="G51" s="9" t="str">
        <f t="shared" si="3"/>
        <v/>
      </c>
    </row>
    <row r="52" spans="1:7" x14ac:dyDescent="0.25">
      <c r="A52" s="3" t="s">
        <v>136</v>
      </c>
      <c r="B52" s="5">
        <v>250</v>
      </c>
      <c r="C52" s="4"/>
      <c r="D52" s="5">
        <f t="shared" si="0"/>
        <v>250</v>
      </c>
      <c r="E52" s="5">
        <f t="shared" si="1"/>
        <v>-250</v>
      </c>
      <c r="F52" s="9" t="str">
        <f t="shared" si="2"/>
        <v/>
      </c>
      <c r="G52" s="9" t="str">
        <f t="shared" si="3"/>
        <v/>
      </c>
    </row>
    <row r="53" spans="1:7" x14ac:dyDescent="0.25">
      <c r="A53" s="3" t="s">
        <v>137</v>
      </c>
      <c r="B53" s="5">
        <v>600</v>
      </c>
      <c r="C53" s="4"/>
      <c r="D53" s="5">
        <f t="shared" si="0"/>
        <v>600</v>
      </c>
      <c r="E53" s="5">
        <f t="shared" si="1"/>
        <v>-600</v>
      </c>
      <c r="F53" s="9" t="str">
        <f t="shared" si="2"/>
        <v/>
      </c>
      <c r="G53" s="9" t="str">
        <f t="shared" si="3"/>
        <v/>
      </c>
    </row>
    <row r="54" spans="1:7" x14ac:dyDescent="0.25">
      <c r="A54" s="3" t="s">
        <v>34</v>
      </c>
      <c r="B54" s="5">
        <v>1759.53</v>
      </c>
      <c r="C54" s="4"/>
      <c r="D54" s="5">
        <f t="shared" si="0"/>
        <v>1759.53</v>
      </c>
      <c r="E54" s="5">
        <f t="shared" si="1"/>
        <v>-1759.53</v>
      </c>
      <c r="F54" s="9" t="str">
        <f t="shared" si="2"/>
        <v/>
      </c>
      <c r="G54" s="9" t="str">
        <f t="shared" si="3"/>
        <v/>
      </c>
    </row>
    <row r="55" spans="1:7" x14ac:dyDescent="0.25">
      <c r="A55" s="3" t="s">
        <v>138</v>
      </c>
      <c r="B55" s="5">
        <v>549.70000000000005</v>
      </c>
      <c r="C55" s="4"/>
      <c r="D55" s="5">
        <f t="shared" si="0"/>
        <v>549.70000000000005</v>
      </c>
      <c r="E55" s="5">
        <f t="shared" si="1"/>
        <v>-549.70000000000005</v>
      </c>
      <c r="F55" s="9" t="str">
        <f t="shared" si="2"/>
        <v/>
      </c>
      <c r="G55" s="9" t="str">
        <f t="shared" si="3"/>
        <v/>
      </c>
    </row>
    <row r="56" spans="1:7" x14ac:dyDescent="0.25">
      <c r="A56" s="3" t="s">
        <v>35</v>
      </c>
      <c r="B56" s="5">
        <v>2079.61</v>
      </c>
      <c r="C56" s="4"/>
      <c r="D56" s="5">
        <f t="shared" si="0"/>
        <v>2079.61</v>
      </c>
      <c r="E56" s="5">
        <f t="shared" si="1"/>
        <v>-2079.61</v>
      </c>
      <c r="F56" s="9" t="str">
        <f t="shared" si="2"/>
        <v/>
      </c>
      <c r="G56" s="9" t="str">
        <f t="shared" si="3"/>
        <v/>
      </c>
    </row>
    <row r="57" spans="1:7" x14ac:dyDescent="0.25">
      <c r="A57" s="3" t="s">
        <v>36</v>
      </c>
      <c r="B57" s="5">
        <v>8000</v>
      </c>
      <c r="C57" s="4"/>
      <c r="D57" s="5">
        <f t="shared" si="0"/>
        <v>8000</v>
      </c>
      <c r="E57" s="5">
        <f t="shared" si="1"/>
        <v>-8000</v>
      </c>
      <c r="F57" s="9" t="str">
        <f t="shared" si="2"/>
        <v/>
      </c>
      <c r="G57" s="9" t="str">
        <f t="shared" si="3"/>
        <v/>
      </c>
    </row>
    <row r="58" spans="1:7" x14ac:dyDescent="0.25">
      <c r="A58" s="3" t="s">
        <v>37</v>
      </c>
      <c r="B58" s="5">
        <v>2454.29</v>
      </c>
      <c r="C58" s="4"/>
      <c r="D58" s="5">
        <f t="shared" si="0"/>
        <v>2454.29</v>
      </c>
      <c r="E58" s="5">
        <f t="shared" si="1"/>
        <v>-2454.29</v>
      </c>
      <c r="F58" s="9" t="str">
        <f t="shared" si="2"/>
        <v/>
      </c>
      <c r="G58" s="9" t="str">
        <f t="shared" si="3"/>
        <v/>
      </c>
    </row>
    <row r="59" spans="1:7" x14ac:dyDescent="0.25">
      <c r="A59" s="3" t="s">
        <v>38</v>
      </c>
      <c r="B59" s="5">
        <v>663.17</v>
      </c>
      <c r="C59" s="4"/>
      <c r="D59" s="5">
        <f t="shared" si="0"/>
        <v>663.17</v>
      </c>
      <c r="E59" s="5">
        <f t="shared" si="1"/>
        <v>-663.17</v>
      </c>
      <c r="F59" s="9" t="str">
        <f t="shared" si="2"/>
        <v/>
      </c>
      <c r="G59" s="9" t="str">
        <f t="shared" si="3"/>
        <v/>
      </c>
    </row>
    <row r="60" spans="1:7" x14ac:dyDescent="0.25">
      <c r="A60" s="3" t="s">
        <v>39</v>
      </c>
      <c r="B60" s="5">
        <v>800</v>
      </c>
      <c r="C60" s="4"/>
      <c r="D60" s="5">
        <f t="shared" si="0"/>
        <v>800</v>
      </c>
      <c r="E60" s="5">
        <f t="shared" si="1"/>
        <v>-800</v>
      </c>
      <c r="F60" s="9" t="str">
        <f t="shared" si="2"/>
        <v/>
      </c>
      <c r="G60" s="9" t="str">
        <f t="shared" si="3"/>
        <v/>
      </c>
    </row>
    <row r="61" spans="1:7" x14ac:dyDescent="0.25">
      <c r="A61" s="3" t="s">
        <v>139</v>
      </c>
      <c r="B61" s="5">
        <v>1339.72</v>
      </c>
      <c r="C61" s="4"/>
      <c r="D61" s="5">
        <f t="shared" si="0"/>
        <v>1339.72</v>
      </c>
      <c r="E61" s="5">
        <f t="shared" si="1"/>
        <v>-1339.72</v>
      </c>
      <c r="F61" s="9" t="str">
        <f t="shared" si="2"/>
        <v/>
      </c>
      <c r="G61" s="9" t="str">
        <f t="shared" si="3"/>
        <v/>
      </c>
    </row>
    <row r="62" spans="1:7" x14ac:dyDescent="0.25">
      <c r="A62" s="3" t="s">
        <v>40</v>
      </c>
      <c r="B62" s="5">
        <v>133</v>
      </c>
      <c r="C62" s="4"/>
      <c r="D62" s="5">
        <f t="shared" si="0"/>
        <v>133</v>
      </c>
      <c r="E62" s="5">
        <f t="shared" si="1"/>
        <v>-133</v>
      </c>
      <c r="F62" s="9" t="str">
        <f t="shared" si="2"/>
        <v/>
      </c>
      <c r="G62" s="9" t="str">
        <f t="shared" si="3"/>
        <v/>
      </c>
    </row>
    <row r="63" spans="1:7" x14ac:dyDescent="0.25">
      <c r="A63" s="3" t="s">
        <v>41</v>
      </c>
      <c r="B63" s="5">
        <v>1374.14</v>
      </c>
      <c r="C63" s="4"/>
      <c r="D63" s="5">
        <f t="shared" si="0"/>
        <v>1374.14</v>
      </c>
      <c r="E63" s="5">
        <f t="shared" si="1"/>
        <v>-1374.14</v>
      </c>
      <c r="F63" s="9" t="str">
        <f t="shared" si="2"/>
        <v/>
      </c>
      <c r="G63" s="9" t="str">
        <f t="shared" si="3"/>
        <v/>
      </c>
    </row>
    <row r="64" spans="1:7" x14ac:dyDescent="0.25">
      <c r="A64" s="3" t="s">
        <v>256</v>
      </c>
      <c r="B64" s="5">
        <v>200</v>
      </c>
      <c r="C64" s="4"/>
      <c r="D64" s="5">
        <f t="shared" si="0"/>
        <v>200</v>
      </c>
      <c r="E64" s="5">
        <f t="shared" si="1"/>
        <v>-200</v>
      </c>
      <c r="F64" s="9" t="str">
        <f t="shared" si="2"/>
        <v/>
      </c>
      <c r="G64" s="9" t="str">
        <f t="shared" si="3"/>
        <v/>
      </c>
    </row>
    <row r="65" spans="1:7" x14ac:dyDescent="0.25">
      <c r="A65" s="3" t="s">
        <v>42</v>
      </c>
      <c r="B65" s="5">
        <v>6076.37</v>
      </c>
      <c r="C65" s="4"/>
      <c r="D65" s="5">
        <f t="shared" si="0"/>
        <v>6076.37</v>
      </c>
      <c r="E65" s="5">
        <f t="shared" si="1"/>
        <v>-6076.37</v>
      </c>
      <c r="F65" s="9" t="str">
        <f t="shared" si="2"/>
        <v/>
      </c>
      <c r="G65" s="9" t="str">
        <f t="shared" si="3"/>
        <v/>
      </c>
    </row>
    <row r="66" spans="1:7" x14ac:dyDescent="0.25">
      <c r="A66" s="3" t="s">
        <v>140</v>
      </c>
      <c r="B66" s="5">
        <v>877.66</v>
      </c>
      <c r="C66" s="4"/>
      <c r="D66" s="5">
        <f t="shared" si="0"/>
        <v>877.66</v>
      </c>
      <c r="E66" s="5">
        <f t="shared" si="1"/>
        <v>-877.66</v>
      </c>
      <c r="F66" s="9" t="str">
        <f t="shared" si="2"/>
        <v/>
      </c>
      <c r="G66" s="9" t="str">
        <f t="shared" si="3"/>
        <v/>
      </c>
    </row>
    <row r="67" spans="1:7" x14ac:dyDescent="0.25">
      <c r="A67" s="3" t="s">
        <v>43</v>
      </c>
      <c r="B67" s="7">
        <f>(((((((((((((((((((((((((((((((((((((((((((((((((((B7)+(B8))+(B9))+(B10))+(B11))+(B12))+(B13))+(B14))+(B15))+(B16))+(B17))+(B19))+(B20))+(B21))+(B22))+(B24))+(B25))+(B26))+(B27))+(B28))+(B30))+(B31))+(B32))+(B33))+(B34))+(B35))+(B36))+(B40))+(B41))+(B42))+(B44))+(B45))+(B46))+(B47))+(B48))+(B49))+(B50))+(B51))+(B52))+(B53))+(B54))+(B55))+(B56))+(B57))+(B58))+(B59))+(B60))+(B61))+(B62))+(B63))+(B65))+(B66)+B23+B29+B43+B64+B18</f>
        <v>95659.919999999984</v>
      </c>
      <c r="C67" s="7">
        <f>(((((((((((((((((((((((((((((((((((((((((((((((((C7)+(C8))+(C9))+(C10))+(C11))+(C12))+(C13))+(C14))+(C15))+(C16))+(C17))+(C19))+(C20))+(C21))+(C22))+(C24))+(C25))+(C26))+(C27))+(C28))+(C30))+(C31))+(C32))+(C33))+(C34))+(C35))+(C36))+(C40))+(C41))+(C44))+(C45))+(C46))+(C47))+(C48))+(C49))+(C50))+(C51))+(C52))+(C53))+(C54))+(C55))+(C56))+(C57))+(C58))+(C60))+(C61))+(C62))+(C63))+(C65))+(C66)</f>
        <v>242625.09</v>
      </c>
      <c r="D67" s="7">
        <f t="shared" si="0"/>
        <v>-146965.17000000001</v>
      </c>
      <c r="E67" s="7">
        <f t="shared" si="1"/>
        <v>146965.17000000001</v>
      </c>
      <c r="F67" s="10">
        <f t="shared" si="2"/>
        <v>0.39427051835405802</v>
      </c>
      <c r="G67" s="10">
        <f t="shared" si="3"/>
        <v>0.60572948164594198</v>
      </c>
    </row>
    <row r="68" spans="1:7" x14ac:dyDescent="0.25">
      <c r="A68" s="3" t="s">
        <v>44</v>
      </c>
      <c r="B68" s="5">
        <v>1200</v>
      </c>
      <c r="C68" s="4"/>
      <c r="D68" s="5">
        <f t="shared" si="0"/>
        <v>1200</v>
      </c>
      <c r="E68" s="5">
        <f t="shared" si="1"/>
        <v>-1200</v>
      </c>
      <c r="F68" s="9" t="str">
        <f t="shared" si="2"/>
        <v/>
      </c>
      <c r="G68" s="9" t="str">
        <f t="shared" si="3"/>
        <v/>
      </c>
    </row>
    <row r="69" spans="1:7" x14ac:dyDescent="0.25">
      <c r="A69" s="3" t="s">
        <v>141</v>
      </c>
      <c r="B69" s="4">
        <v>15004.73</v>
      </c>
      <c r="C69" s="5">
        <f>20800</f>
        <v>20800</v>
      </c>
      <c r="D69" s="5">
        <f t="shared" si="0"/>
        <v>-5795.27</v>
      </c>
      <c r="E69" s="5">
        <f t="shared" si="1"/>
        <v>5795.27</v>
      </c>
      <c r="F69" s="9">
        <f t="shared" si="2"/>
        <v>0.72138124999999997</v>
      </c>
      <c r="G69" s="9">
        <f t="shared" si="3"/>
        <v>0.27861875000000003</v>
      </c>
    </row>
    <row r="70" spans="1:7" x14ac:dyDescent="0.25">
      <c r="A70" s="3" t="s">
        <v>45</v>
      </c>
      <c r="B70" s="5">
        <v>17189.919999999998</v>
      </c>
      <c r="C70" s="4"/>
      <c r="D70" s="5">
        <f t="shared" si="0"/>
        <v>17189.919999999998</v>
      </c>
      <c r="E70" s="5">
        <f t="shared" si="1"/>
        <v>-17189.919999999998</v>
      </c>
      <c r="F70" s="9" t="str">
        <f t="shared" si="2"/>
        <v/>
      </c>
      <c r="G70" s="9" t="str">
        <f t="shared" si="3"/>
        <v/>
      </c>
    </row>
    <row r="71" spans="1:7" x14ac:dyDescent="0.25">
      <c r="A71" s="3" t="s">
        <v>142</v>
      </c>
      <c r="B71" s="4"/>
      <c r="C71" s="5">
        <f>15945</f>
        <v>15945</v>
      </c>
      <c r="D71" s="5">
        <f t="shared" si="0"/>
        <v>-15945</v>
      </c>
      <c r="E71" s="5">
        <f t="shared" si="1"/>
        <v>15945</v>
      </c>
      <c r="F71" s="9">
        <f t="shared" si="2"/>
        <v>0</v>
      </c>
      <c r="G71" s="9">
        <f t="shared" si="3"/>
        <v>1</v>
      </c>
    </row>
    <row r="72" spans="1:7" x14ac:dyDescent="0.25">
      <c r="A72" s="13" t="s">
        <v>253</v>
      </c>
      <c r="B72" s="4">
        <v>3000</v>
      </c>
      <c r="C72" s="5"/>
      <c r="D72" s="5"/>
      <c r="E72" s="5"/>
      <c r="F72" s="9"/>
      <c r="G72" s="9"/>
    </row>
    <row r="73" spans="1:7" x14ac:dyDescent="0.25">
      <c r="A73" s="3" t="s">
        <v>46</v>
      </c>
      <c r="B73" s="5">
        <v>3750</v>
      </c>
      <c r="C73" s="5">
        <f>15000</f>
        <v>15000</v>
      </c>
      <c r="D73" s="5">
        <f t="shared" si="0"/>
        <v>-11250</v>
      </c>
      <c r="E73" s="5">
        <f t="shared" si="1"/>
        <v>11250</v>
      </c>
      <c r="F73" s="9">
        <f t="shared" si="2"/>
        <v>0.25</v>
      </c>
      <c r="G73" s="9">
        <f t="shared" si="3"/>
        <v>0.75</v>
      </c>
    </row>
    <row r="74" spans="1:7" x14ac:dyDescent="0.25">
      <c r="A74" s="3" t="s">
        <v>47</v>
      </c>
      <c r="B74" s="7">
        <f>(((((B67)+(B68))+(B69))+(B70))+(B71))+(B73)+3000</f>
        <v>135804.56999999998</v>
      </c>
      <c r="C74" s="7">
        <f>(((((C67)+(C68))+(C69))+(C70))+(C71))+(C73)</f>
        <v>294370.08999999997</v>
      </c>
      <c r="D74" s="7">
        <f t="shared" si="0"/>
        <v>-158565.51999999999</v>
      </c>
      <c r="E74" s="7">
        <f t="shared" si="1"/>
        <v>158565.51999999999</v>
      </c>
      <c r="F74" s="10">
        <f t="shared" si="2"/>
        <v>0.46133956748119348</v>
      </c>
      <c r="G74" s="10">
        <f t="shared" si="3"/>
        <v>0.53866043251880658</v>
      </c>
    </row>
    <row r="75" spans="1:7" x14ac:dyDescent="0.25">
      <c r="A75" s="3" t="s">
        <v>48</v>
      </c>
      <c r="B75" s="7">
        <f>(B74)-(0)</f>
        <v>135804.56999999998</v>
      </c>
      <c r="C75" s="7">
        <f>(C74)-(0)</f>
        <v>294370.08999999997</v>
      </c>
      <c r="D75" s="7">
        <f t="shared" si="0"/>
        <v>-158565.51999999999</v>
      </c>
      <c r="E75" s="7">
        <f t="shared" si="1"/>
        <v>158565.51999999999</v>
      </c>
      <c r="F75" s="10">
        <f t="shared" si="2"/>
        <v>0.46133956748119348</v>
      </c>
      <c r="G75" s="10">
        <f t="shared" si="3"/>
        <v>0.53866043251880658</v>
      </c>
    </row>
    <row r="76" spans="1:7" x14ac:dyDescent="0.25">
      <c r="A76" s="3"/>
      <c r="B76" s="23"/>
      <c r="C76" s="23"/>
      <c r="D76" s="23"/>
      <c r="E76" s="23"/>
      <c r="F76" s="24"/>
      <c r="G76" s="24"/>
    </row>
    <row r="77" spans="1:7" x14ac:dyDescent="0.25">
      <c r="A77" s="3"/>
      <c r="B77" s="23"/>
      <c r="C77" s="23"/>
      <c r="D77" s="23"/>
      <c r="E77" s="23"/>
      <c r="F77" s="24"/>
      <c r="G77" s="24"/>
    </row>
    <row r="78" spans="1:7" x14ac:dyDescent="0.25">
      <c r="A78" s="3"/>
      <c r="B78" s="23"/>
      <c r="C78" s="23"/>
      <c r="D78" s="23"/>
      <c r="E78" s="23"/>
      <c r="F78" s="24"/>
      <c r="G78" s="24"/>
    </row>
    <row r="79" spans="1:7" x14ac:dyDescent="0.25">
      <c r="A79" s="3"/>
      <c r="B79" s="23"/>
      <c r="C79" s="23"/>
      <c r="D79" s="23"/>
      <c r="E79" s="23"/>
      <c r="F79" s="24"/>
      <c r="G79" s="24"/>
    </row>
    <row r="80" spans="1:7" x14ac:dyDescent="0.25">
      <c r="A80" s="3"/>
      <c r="B80" s="23"/>
      <c r="C80" s="23"/>
      <c r="D80" s="23"/>
      <c r="E80" s="23"/>
      <c r="F80" s="24"/>
      <c r="G80" s="24"/>
    </row>
    <row r="81" spans="1:7" x14ac:dyDescent="0.25">
      <c r="A81" s="3"/>
      <c r="B81" s="23"/>
      <c r="C81" s="23"/>
      <c r="D81" s="23"/>
      <c r="E81" s="23"/>
      <c r="F81" s="24"/>
      <c r="G81" s="24"/>
    </row>
    <row r="82" spans="1:7" x14ac:dyDescent="0.25">
      <c r="A82" s="3"/>
      <c r="B82" s="23"/>
      <c r="C82" s="23"/>
      <c r="D82" s="23"/>
      <c r="E82" s="23"/>
      <c r="F82" s="24"/>
      <c r="G82" s="24"/>
    </row>
    <row r="83" spans="1:7" x14ac:dyDescent="0.25">
      <c r="A83" s="3"/>
      <c r="B83" s="23"/>
      <c r="C83" s="23"/>
      <c r="D83" s="23"/>
      <c r="E83" s="23"/>
      <c r="F83" s="24"/>
      <c r="G83" s="24"/>
    </row>
    <row r="84" spans="1:7" x14ac:dyDescent="0.25">
      <c r="A84" s="3"/>
      <c r="B84" s="23"/>
      <c r="C84" s="23"/>
      <c r="D84" s="23"/>
      <c r="E84" s="23"/>
      <c r="F84" s="24"/>
      <c r="G84" s="24"/>
    </row>
    <row r="85" spans="1:7" x14ac:dyDescent="0.25">
      <c r="A85" s="3"/>
      <c r="B85" s="23"/>
      <c r="C85" s="23"/>
      <c r="D85" s="23"/>
      <c r="E85" s="23"/>
      <c r="F85" s="24"/>
      <c r="G85" s="24"/>
    </row>
    <row r="86" spans="1:7" x14ac:dyDescent="0.25">
      <c r="A86" s="3"/>
      <c r="B86" s="23"/>
      <c r="C86" s="23"/>
      <c r="D86" s="23"/>
      <c r="E86" s="23"/>
      <c r="F86" s="24"/>
      <c r="G86" s="24"/>
    </row>
    <row r="87" spans="1:7" x14ac:dyDescent="0.25">
      <c r="A87" s="3"/>
      <c r="B87" s="23"/>
      <c r="C87" s="23"/>
      <c r="D87" s="23"/>
      <c r="E87" s="23"/>
      <c r="F87" s="24"/>
      <c r="G87" s="24"/>
    </row>
    <row r="88" spans="1:7" x14ac:dyDescent="0.25">
      <c r="A88" s="3"/>
      <c r="B88" s="23"/>
      <c r="C88" s="23"/>
      <c r="D88" s="23"/>
      <c r="E88" s="23"/>
      <c r="F88" s="24"/>
      <c r="G88" s="24"/>
    </row>
    <row r="89" spans="1:7" x14ac:dyDescent="0.25">
      <c r="A89" s="3"/>
      <c r="B89" s="23"/>
      <c r="C89" s="23"/>
      <c r="D89" s="23"/>
      <c r="E89" s="23"/>
      <c r="F89" s="24"/>
      <c r="G89" s="24"/>
    </row>
    <row r="90" spans="1:7" x14ac:dyDescent="0.25">
      <c r="A90" s="3"/>
      <c r="B90" s="23"/>
      <c r="C90" s="23"/>
      <c r="D90" s="23"/>
      <c r="E90" s="23"/>
      <c r="F90" s="24"/>
      <c r="G90" s="24"/>
    </row>
    <row r="91" spans="1:7" x14ac:dyDescent="0.25">
      <c r="A91" s="3"/>
      <c r="B91" s="23"/>
      <c r="C91" s="23"/>
      <c r="D91" s="23"/>
      <c r="E91" s="23"/>
      <c r="F91" s="24"/>
      <c r="G91" s="24"/>
    </row>
    <row r="92" spans="1:7" x14ac:dyDescent="0.25">
      <c r="A92" s="3"/>
      <c r="B92" s="23"/>
      <c r="C92" s="23"/>
      <c r="D92" s="23"/>
      <c r="E92" s="23"/>
      <c r="F92" s="24"/>
      <c r="G92" s="24"/>
    </row>
    <row r="93" spans="1:7" x14ac:dyDescent="0.25">
      <c r="A93" s="3"/>
      <c r="B93" s="23"/>
      <c r="C93" s="23"/>
      <c r="D93" s="23"/>
      <c r="E93" s="23"/>
      <c r="F93" s="24"/>
      <c r="G93" s="24"/>
    </row>
    <row r="94" spans="1:7" x14ac:dyDescent="0.25">
      <c r="A94" s="3"/>
      <c r="B94" s="23"/>
      <c r="C94" s="23"/>
      <c r="D94" s="23"/>
      <c r="E94" s="23"/>
      <c r="F94" s="24"/>
      <c r="G94" s="24"/>
    </row>
    <row r="95" spans="1:7" x14ac:dyDescent="0.25">
      <c r="A95" s="3"/>
      <c r="B95" s="23"/>
      <c r="C95" s="23"/>
      <c r="D95" s="23"/>
      <c r="E95" s="23"/>
      <c r="F95" s="24"/>
      <c r="G95" s="24"/>
    </row>
    <row r="96" spans="1:7" x14ac:dyDescent="0.25">
      <c r="A96" s="3"/>
      <c r="B96" s="23"/>
      <c r="C96" s="23"/>
      <c r="D96" s="23"/>
      <c r="E96" s="23"/>
      <c r="F96" s="24"/>
      <c r="G96" s="24"/>
    </row>
    <row r="97" spans="1:7" x14ac:dyDescent="0.25">
      <c r="A97" s="3"/>
      <c r="B97" s="23"/>
      <c r="C97" s="23"/>
      <c r="D97" s="23"/>
      <c r="E97" s="23"/>
      <c r="F97" s="24"/>
      <c r="G97" s="24"/>
    </row>
    <row r="98" spans="1:7" x14ac:dyDescent="0.25">
      <c r="A98" s="3"/>
      <c r="B98" s="23"/>
      <c r="C98" s="23"/>
      <c r="D98" s="23"/>
      <c r="E98" s="23"/>
      <c r="F98" s="24"/>
      <c r="G98" s="24"/>
    </row>
    <row r="99" spans="1:7" x14ac:dyDescent="0.25">
      <c r="A99" s="3"/>
      <c r="B99" s="23"/>
      <c r="C99" s="23"/>
      <c r="D99" s="23"/>
      <c r="E99" s="23"/>
      <c r="F99" s="24"/>
      <c r="G99" s="24"/>
    </row>
    <row r="100" spans="1:7" x14ac:dyDescent="0.25">
      <c r="A100" s="3"/>
      <c r="B100" s="23"/>
      <c r="C100" s="23"/>
      <c r="D100" s="23"/>
      <c r="E100" s="23"/>
      <c r="F100" s="24"/>
      <c r="G100" s="24"/>
    </row>
    <row r="101" spans="1:7" x14ac:dyDescent="0.25">
      <c r="A101" s="3"/>
      <c r="B101" s="23"/>
      <c r="C101" s="23"/>
      <c r="D101" s="23"/>
      <c r="E101" s="23"/>
      <c r="F101" s="24"/>
      <c r="G101" s="24"/>
    </row>
    <row r="102" spans="1:7" x14ac:dyDescent="0.25">
      <c r="A102" s="3"/>
      <c r="B102" s="23"/>
      <c r="C102" s="23"/>
      <c r="D102" s="23"/>
      <c r="E102" s="23"/>
      <c r="F102" s="24"/>
      <c r="G102" s="24"/>
    </row>
    <row r="103" spans="1:7" x14ac:dyDescent="0.25">
      <c r="A103" s="3"/>
      <c r="B103" s="23"/>
      <c r="C103" s="23"/>
      <c r="D103" s="23"/>
      <c r="E103" s="23"/>
      <c r="F103" s="24"/>
      <c r="G103" s="24"/>
    </row>
    <row r="104" spans="1:7" x14ac:dyDescent="0.25">
      <c r="A104" s="3"/>
      <c r="B104" s="23"/>
      <c r="C104" s="23"/>
      <c r="D104" s="23"/>
      <c r="E104" s="23"/>
      <c r="F104" s="24"/>
      <c r="G104" s="24"/>
    </row>
    <row r="105" spans="1:7" x14ac:dyDescent="0.25">
      <c r="A105" s="3"/>
      <c r="B105" s="23"/>
      <c r="C105" s="23"/>
      <c r="D105" s="23"/>
      <c r="E105" s="23"/>
      <c r="F105" s="24"/>
      <c r="G105" s="24"/>
    </row>
    <row r="106" spans="1:7" x14ac:dyDescent="0.25">
      <c r="A106" s="3"/>
      <c r="B106" s="23"/>
      <c r="C106" s="23"/>
      <c r="D106" s="23"/>
      <c r="E106" s="23"/>
      <c r="F106" s="24"/>
      <c r="G106" s="24"/>
    </row>
    <row r="107" spans="1:7" x14ac:dyDescent="0.25">
      <c r="A107" s="3"/>
      <c r="B107" s="23"/>
      <c r="C107" s="23"/>
      <c r="D107" s="23"/>
      <c r="E107" s="23"/>
      <c r="F107" s="24"/>
      <c r="G107" s="24"/>
    </row>
    <row r="108" spans="1:7" x14ac:dyDescent="0.25">
      <c r="A108" s="3"/>
      <c r="B108" s="23"/>
      <c r="C108" s="23"/>
      <c r="D108" s="23"/>
      <c r="E108" s="23"/>
      <c r="F108" s="24"/>
      <c r="G108" s="24"/>
    </row>
    <row r="109" spans="1:7" x14ac:dyDescent="0.25">
      <c r="A109" s="3"/>
      <c r="B109" s="23"/>
      <c r="C109" s="23"/>
      <c r="D109" s="23"/>
      <c r="E109" s="23"/>
      <c r="F109" s="24"/>
      <c r="G109" s="24"/>
    </row>
    <row r="110" spans="1:7" x14ac:dyDescent="0.25">
      <c r="A110" s="3"/>
      <c r="B110" s="23"/>
      <c r="C110" s="23"/>
      <c r="D110" s="23"/>
      <c r="E110" s="23"/>
      <c r="F110" s="24"/>
      <c r="G110" s="24"/>
    </row>
    <row r="111" spans="1:7" x14ac:dyDescent="0.25">
      <c r="A111" s="3"/>
      <c r="B111" s="23"/>
      <c r="C111" s="23"/>
      <c r="D111" s="23"/>
      <c r="E111" s="23"/>
      <c r="F111" s="24"/>
      <c r="G111" s="24"/>
    </row>
    <row r="112" spans="1:7" x14ac:dyDescent="0.25">
      <c r="A112" s="3"/>
      <c r="B112" s="23"/>
      <c r="C112" s="23"/>
      <c r="D112" s="23"/>
      <c r="E112" s="23"/>
      <c r="F112" s="24"/>
      <c r="G112" s="24"/>
    </row>
    <row r="113" spans="1:7" x14ac:dyDescent="0.25">
      <c r="A113" s="3"/>
      <c r="B113" s="23"/>
      <c r="C113" s="23"/>
      <c r="D113" s="23"/>
      <c r="E113" s="23"/>
      <c r="F113" s="24"/>
      <c r="G113" s="24"/>
    </row>
    <row r="114" spans="1:7" x14ac:dyDescent="0.25">
      <c r="A114" s="3"/>
      <c r="B114" s="23"/>
      <c r="C114" s="23"/>
      <c r="D114" s="23"/>
      <c r="E114" s="23"/>
      <c r="F114" s="24"/>
      <c r="G114" s="24"/>
    </row>
    <row r="115" spans="1:7" x14ac:dyDescent="0.25">
      <c r="A115" s="3"/>
      <c r="B115" s="23"/>
      <c r="C115" s="23"/>
      <c r="D115" s="23"/>
      <c r="E115" s="23"/>
      <c r="F115" s="24"/>
      <c r="G115" s="24"/>
    </row>
    <row r="116" spans="1:7" x14ac:dyDescent="0.25">
      <c r="A116" s="3"/>
      <c r="B116" s="23"/>
      <c r="C116" s="23"/>
      <c r="D116" s="23"/>
      <c r="E116" s="23"/>
      <c r="F116" s="24"/>
      <c r="G116" s="24"/>
    </row>
    <row r="117" spans="1:7" x14ac:dyDescent="0.25">
      <c r="A117" s="3"/>
      <c r="B117" s="23"/>
      <c r="C117" s="23"/>
      <c r="D117" s="23"/>
      <c r="E117" s="23"/>
      <c r="F117" s="24"/>
      <c r="G117" s="24"/>
    </row>
    <row r="118" spans="1:7" x14ac:dyDescent="0.25">
      <c r="A118" s="3"/>
      <c r="B118" s="23"/>
      <c r="C118" s="23"/>
      <c r="D118" s="23"/>
      <c r="E118" s="23"/>
      <c r="F118" s="24"/>
      <c r="G118" s="24"/>
    </row>
    <row r="119" spans="1:7" x14ac:dyDescent="0.25">
      <c r="A119" s="3"/>
      <c r="B119" s="23"/>
      <c r="C119" s="23"/>
      <c r="D119" s="23"/>
      <c r="E119" s="23"/>
      <c r="F119" s="24"/>
      <c r="G119" s="24"/>
    </row>
    <row r="120" spans="1:7" x14ac:dyDescent="0.25">
      <c r="A120" s="3"/>
      <c r="B120" s="23"/>
      <c r="C120" s="23"/>
      <c r="D120" s="23"/>
      <c r="E120" s="23"/>
      <c r="F120" s="24"/>
      <c r="G120" s="24"/>
    </row>
    <row r="121" spans="1:7" x14ac:dyDescent="0.25">
      <c r="A121" s="3"/>
      <c r="B121" s="23"/>
      <c r="C121" s="23"/>
      <c r="D121" s="23"/>
      <c r="E121" s="23"/>
      <c r="F121" s="24"/>
      <c r="G121" s="24"/>
    </row>
    <row r="122" spans="1:7" x14ac:dyDescent="0.25">
      <c r="A122" s="3"/>
      <c r="B122" s="23"/>
      <c r="C122" s="23"/>
      <c r="D122" s="23"/>
      <c r="E122" s="23"/>
      <c r="F122" s="24"/>
      <c r="G122" s="24"/>
    </row>
    <row r="123" spans="1:7" x14ac:dyDescent="0.25">
      <c r="A123" s="3"/>
      <c r="B123" s="23"/>
      <c r="C123" s="23"/>
      <c r="D123" s="23"/>
      <c r="E123" s="23"/>
      <c r="F123" s="24"/>
      <c r="G123" s="24"/>
    </row>
    <row r="124" spans="1:7" x14ac:dyDescent="0.25">
      <c r="A124" s="3"/>
      <c r="B124" s="23"/>
      <c r="C124" s="23"/>
      <c r="D124" s="23"/>
      <c r="E124" s="23"/>
      <c r="F124" s="24"/>
      <c r="G124" s="24"/>
    </row>
    <row r="125" spans="1:7" x14ac:dyDescent="0.25">
      <c r="A125" s="3"/>
      <c r="B125" s="23"/>
      <c r="C125" s="23"/>
      <c r="D125" s="23"/>
      <c r="E125" s="23"/>
      <c r="F125" s="24"/>
      <c r="G125" s="24"/>
    </row>
    <row r="126" spans="1:7" x14ac:dyDescent="0.25">
      <c r="A126" s="3"/>
      <c r="B126" s="23"/>
      <c r="C126" s="23"/>
      <c r="D126" s="23"/>
      <c r="E126" s="23"/>
      <c r="F126" s="24"/>
      <c r="G126" s="24"/>
    </row>
    <row r="127" spans="1:7" x14ac:dyDescent="0.25">
      <c r="A127" s="3"/>
      <c r="B127" s="23"/>
      <c r="C127" s="23"/>
      <c r="D127" s="23"/>
      <c r="E127" s="23"/>
      <c r="F127" s="24"/>
      <c r="G127" s="24"/>
    </row>
    <row r="128" spans="1:7" x14ac:dyDescent="0.25">
      <c r="A128" s="3"/>
      <c r="B128" s="23"/>
      <c r="C128" s="23"/>
      <c r="D128" s="23"/>
      <c r="E128" s="23"/>
      <c r="F128" s="24"/>
      <c r="G128" s="24"/>
    </row>
    <row r="129" spans="1:7" x14ac:dyDescent="0.25">
      <c r="A129" s="3"/>
      <c r="B129" s="23"/>
      <c r="C129" s="23"/>
      <c r="D129" s="23"/>
      <c r="E129" s="23"/>
      <c r="F129" s="24"/>
      <c r="G129" s="24"/>
    </row>
    <row r="130" spans="1:7" x14ac:dyDescent="0.25">
      <c r="A130" s="3"/>
      <c r="B130" s="23"/>
      <c r="C130" s="23"/>
      <c r="D130" s="23"/>
      <c r="E130" s="23"/>
      <c r="F130" s="24"/>
      <c r="G130" s="24"/>
    </row>
    <row r="131" spans="1:7" x14ac:dyDescent="0.25">
      <c r="A131" s="3"/>
      <c r="B131" s="23"/>
      <c r="C131" s="23"/>
      <c r="D131" s="23"/>
      <c r="E131" s="23"/>
      <c r="F131" s="24"/>
      <c r="G131" s="24"/>
    </row>
    <row r="132" spans="1:7" x14ac:dyDescent="0.25">
      <c r="A132" s="3"/>
      <c r="B132" s="23"/>
      <c r="C132" s="23"/>
      <c r="D132" s="23"/>
      <c r="E132" s="23"/>
      <c r="F132" s="24"/>
      <c r="G132" s="24"/>
    </row>
    <row r="133" spans="1:7" x14ac:dyDescent="0.25">
      <c r="A133" s="3" t="s">
        <v>49</v>
      </c>
      <c r="B133" s="4"/>
      <c r="C133" s="4"/>
      <c r="D133" s="4"/>
      <c r="E133" s="4"/>
      <c r="F133" s="4"/>
      <c r="G133" s="4"/>
    </row>
    <row r="134" spans="1:7" x14ac:dyDescent="0.25">
      <c r="A134" s="3" t="s">
        <v>50</v>
      </c>
      <c r="B134" s="4"/>
      <c r="C134" s="4"/>
      <c r="D134" s="5">
        <f t="shared" ref="D134:D199" si="4">(B134)-(C134)</f>
        <v>0</v>
      </c>
      <c r="E134" s="5">
        <f t="shared" ref="E134:E199" si="5">(C134)-(B134)</f>
        <v>0</v>
      </c>
      <c r="F134" s="9" t="str">
        <f t="shared" ref="F134:F199" si="6">IF(C134=0,"",(B134)/(C134))</f>
        <v/>
      </c>
      <c r="G134" s="9" t="str">
        <f t="shared" ref="G134:G199" si="7">IF(C134=0,"",(E134)/(C134))</f>
        <v/>
      </c>
    </row>
    <row r="135" spans="1:7" x14ac:dyDescent="0.25">
      <c r="A135" s="3" t="s">
        <v>51</v>
      </c>
      <c r="B135" s="4"/>
      <c r="C135" s="4"/>
      <c r="D135" s="5">
        <f t="shared" si="4"/>
        <v>0</v>
      </c>
      <c r="E135" s="5">
        <f t="shared" si="5"/>
        <v>0</v>
      </c>
      <c r="F135" s="9" t="str">
        <f t="shared" si="6"/>
        <v/>
      </c>
      <c r="G135" s="9" t="str">
        <f t="shared" si="7"/>
        <v/>
      </c>
    </row>
    <row r="136" spans="1:7" hidden="1" x14ac:dyDescent="0.25">
      <c r="A136" s="3" t="s">
        <v>52</v>
      </c>
      <c r="B136" s="5">
        <v>3000</v>
      </c>
      <c r="C136" s="5">
        <f>9000</f>
        <v>9000</v>
      </c>
      <c r="D136" s="5">
        <f t="shared" si="4"/>
        <v>-6000</v>
      </c>
      <c r="E136" s="5">
        <f t="shared" si="5"/>
        <v>6000</v>
      </c>
      <c r="F136" s="9">
        <f t="shared" si="6"/>
        <v>0.33333333333333331</v>
      </c>
      <c r="G136" s="9">
        <f t="shared" si="7"/>
        <v>0.66666666666666663</v>
      </c>
    </row>
    <row r="137" spans="1:7" hidden="1" x14ac:dyDescent="0.25">
      <c r="A137" s="3" t="s">
        <v>53</v>
      </c>
      <c r="B137" s="5">
        <v>743.58</v>
      </c>
      <c r="C137" s="5">
        <f>2230.74</f>
        <v>2230.7399999999998</v>
      </c>
      <c r="D137" s="5">
        <f t="shared" si="4"/>
        <v>-1487.1599999999999</v>
      </c>
      <c r="E137" s="5">
        <f t="shared" si="5"/>
        <v>1487.1599999999999</v>
      </c>
      <c r="F137" s="9">
        <f t="shared" si="6"/>
        <v>0.33333333333333337</v>
      </c>
      <c r="G137" s="9">
        <f t="shared" si="7"/>
        <v>0.66666666666666663</v>
      </c>
    </row>
    <row r="138" spans="1:7" x14ac:dyDescent="0.25">
      <c r="A138" s="3" t="s">
        <v>54</v>
      </c>
      <c r="B138" s="7">
        <f>((B135)+(B136))+(B137)</f>
        <v>3743.58</v>
      </c>
      <c r="C138" s="7">
        <f>((C135)+(C136))+(C137)</f>
        <v>11230.74</v>
      </c>
      <c r="D138" s="7">
        <f t="shared" si="4"/>
        <v>-7487.16</v>
      </c>
      <c r="E138" s="7">
        <f t="shared" si="5"/>
        <v>7487.16</v>
      </c>
      <c r="F138" s="10">
        <f t="shared" si="6"/>
        <v>0.33333333333333331</v>
      </c>
      <c r="G138" s="10">
        <f t="shared" si="7"/>
        <v>0.66666666666666663</v>
      </c>
    </row>
    <row r="139" spans="1:7" x14ac:dyDescent="0.25">
      <c r="A139" s="3" t="s">
        <v>55</v>
      </c>
      <c r="B139" s="4"/>
      <c r="C139" s="4"/>
      <c r="D139" s="5">
        <f t="shared" si="4"/>
        <v>0</v>
      </c>
      <c r="E139" s="5">
        <f t="shared" si="5"/>
        <v>0</v>
      </c>
      <c r="F139" s="9" t="str">
        <f t="shared" si="6"/>
        <v/>
      </c>
      <c r="G139" s="9" t="str">
        <f t="shared" si="7"/>
        <v/>
      </c>
    </row>
    <row r="140" spans="1:7" x14ac:dyDescent="0.25">
      <c r="A140" s="3" t="s">
        <v>56</v>
      </c>
      <c r="B140" s="5">
        <v>16017.13</v>
      </c>
      <c r="C140" s="5">
        <f>13588.35</f>
        <v>13588.35</v>
      </c>
      <c r="D140" s="5">
        <f t="shared" si="4"/>
        <v>2428.7799999999988</v>
      </c>
      <c r="E140" s="5">
        <f t="shared" si="5"/>
        <v>-2428.7799999999988</v>
      </c>
      <c r="F140" s="9">
        <f t="shared" si="6"/>
        <v>1.1787398764382724</v>
      </c>
      <c r="G140" s="9">
        <f t="shared" si="7"/>
        <v>-0.17873987643827241</v>
      </c>
    </row>
    <row r="141" spans="1:7" x14ac:dyDescent="0.25">
      <c r="A141" s="3" t="s">
        <v>57</v>
      </c>
      <c r="B141" s="7">
        <f>(B139)+(B140)</f>
        <v>16017.13</v>
      </c>
      <c r="C141" s="7">
        <f>(C139)+(C140)</f>
        <v>13588.35</v>
      </c>
      <c r="D141" s="7">
        <f t="shared" si="4"/>
        <v>2428.7799999999988</v>
      </c>
      <c r="E141" s="7">
        <f t="shared" si="5"/>
        <v>-2428.7799999999988</v>
      </c>
      <c r="F141" s="10">
        <f t="shared" si="6"/>
        <v>1.1787398764382724</v>
      </c>
      <c r="G141" s="10">
        <f t="shared" si="7"/>
        <v>-0.17873987643827241</v>
      </c>
    </row>
    <row r="142" spans="1:7" x14ac:dyDescent="0.25">
      <c r="A142" s="3" t="s">
        <v>58</v>
      </c>
      <c r="B142" s="4"/>
      <c r="C142" s="4"/>
      <c r="D142" s="5">
        <f t="shared" si="4"/>
        <v>0</v>
      </c>
      <c r="E142" s="5">
        <f t="shared" si="5"/>
        <v>0</v>
      </c>
      <c r="F142" s="9" t="str">
        <f t="shared" si="6"/>
        <v/>
      </c>
      <c r="G142" s="9" t="str">
        <f t="shared" si="7"/>
        <v/>
      </c>
    </row>
    <row r="143" spans="1:7" hidden="1" x14ac:dyDescent="0.25">
      <c r="A143" s="3" t="s">
        <v>59</v>
      </c>
      <c r="B143" s="5">
        <v>6274.68</v>
      </c>
      <c r="C143" s="5">
        <f>23360</f>
        <v>23360</v>
      </c>
      <c r="D143" s="5">
        <f t="shared" si="4"/>
        <v>-17085.32</v>
      </c>
      <c r="E143" s="5">
        <f t="shared" si="5"/>
        <v>17085.32</v>
      </c>
      <c r="F143" s="9">
        <f t="shared" si="6"/>
        <v>0.26860787671232877</v>
      </c>
      <c r="G143" s="9">
        <f t="shared" si="7"/>
        <v>0.73139212328767123</v>
      </c>
    </row>
    <row r="144" spans="1:7" hidden="1" x14ac:dyDescent="0.25">
      <c r="A144" s="3" t="s">
        <v>60</v>
      </c>
      <c r="B144" s="5">
        <v>15336.16</v>
      </c>
      <c r="C144" s="5">
        <f>46336</f>
        <v>46336</v>
      </c>
      <c r="D144" s="5">
        <f t="shared" si="4"/>
        <v>-30999.84</v>
      </c>
      <c r="E144" s="5">
        <f t="shared" si="5"/>
        <v>30999.84</v>
      </c>
      <c r="F144" s="9">
        <f t="shared" si="6"/>
        <v>0.33097720994475138</v>
      </c>
      <c r="G144" s="9">
        <f t="shared" si="7"/>
        <v>0.66902279005524867</v>
      </c>
    </row>
    <row r="145" spans="1:7" x14ac:dyDescent="0.25">
      <c r="A145" s="3" t="s">
        <v>61</v>
      </c>
      <c r="B145" s="7">
        <f>((B142)+(B143))+(B144)</f>
        <v>21610.84</v>
      </c>
      <c r="C145" s="7">
        <f>((C142)+(C143))+(C144)</f>
        <v>69696</v>
      </c>
      <c r="D145" s="7">
        <f t="shared" si="4"/>
        <v>-48085.16</v>
      </c>
      <c r="E145" s="7">
        <f t="shared" si="5"/>
        <v>48085.16</v>
      </c>
      <c r="F145" s="10">
        <f t="shared" si="6"/>
        <v>0.31007288797061522</v>
      </c>
      <c r="G145" s="10">
        <f t="shared" si="7"/>
        <v>0.68992711202938484</v>
      </c>
    </row>
    <row r="146" spans="1:7" x14ac:dyDescent="0.25">
      <c r="A146" s="3" t="s">
        <v>62</v>
      </c>
      <c r="B146" s="7">
        <f>(((B134)+(B138))+(B141))+(B145)</f>
        <v>41371.550000000003</v>
      </c>
      <c r="C146" s="7">
        <f>(((C134)+(C138))+(C141))+(C145)</f>
        <v>94515.09</v>
      </c>
      <c r="D146" s="7">
        <f t="shared" si="4"/>
        <v>-53143.539999999994</v>
      </c>
      <c r="E146" s="7">
        <f t="shared" si="5"/>
        <v>53143.539999999994</v>
      </c>
      <c r="F146" s="10">
        <f t="shared" si="6"/>
        <v>0.43772428296899474</v>
      </c>
      <c r="G146" s="10">
        <f t="shared" si="7"/>
        <v>0.56227571703100532</v>
      </c>
    </row>
    <row r="147" spans="1:7" x14ac:dyDescent="0.25">
      <c r="A147" s="3" t="s">
        <v>63</v>
      </c>
      <c r="B147" s="4"/>
      <c r="C147" s="4"/>
      <c r="D147" s="5">
        <f t="shared" si="4"/>
        <v>0</v>
      </c>
      <c r="E147" s="5">
        <f t="shared" si="5"/>
        <v>0</v>
      </c>
      <c r="F147" s="9" t="str">
        <f t="shared" si="6"/>
        <v/>
      </c>
      <c r="G147" s="9" t="str">
        <f t="shared" si="7"/>
        <v/>
      </c>
    </row>
    <row r="148" spans="1:7" hidden="1" x14ac:dyDescent="0.25">
      <c r="A148" s="3" t="s">
        <v>64</v>
      </c>
      <c r="B148" s="4"/>
      <c r="C148" s="4"/>
      <c r="D148" s="5">
        <f t="shared" si="4"/>
        <v>0</v>
      </c>
      <c r="E148" s="5">
        <f t="shared" si="5"/>
        <v>0</v>
      </c>
      <c r="F148" s="9" t="str">
        <f t="shared" si="6"/>
        <v/>
      </c>
      <c r="G148" s="9" t="str">
        <f t="shared" si="7"/>
        <v/>
      </c>
    </row>
    <row r="149" spans="1:7" hidden="1" x14ac:dyDescent="0.25">
      <c r="A149" s="3" t="s">
        <v>65</v>
      </c>
      <c r="B149" s="4"/>
      <c r="C149" s="4"/>
      <c r="D149" s="5">
        <f t="shared" si="4"/>
        <v>0</v>
      </c>
      <c r="E149" s="5">
        <f t="shared" si="5"/>
        <v>0</v>
      </c>
      <c r="F149" s="9" t="str">
        <f t="shared" si="6"/>
        <v/>
      </c>
      <c r="G149" s="9" t="str">
        <f t="shared" si="7"/>
        <v/>
      </c>
    </row>
    <row r="150" spans="1:7" hidden="1" x14ac:dyDescent="0.25">
      <c r="A150" s="3" t="s">
        <v>66</v>
      </c>
      <c r="B150" s="5">
        <v>5666.68</v>
      </c>
      <c r="C150" s="5">
        <f>24200</f>
        <v>24200</v>
      </c>
      <c r="D150" s="5">
        <f t="shared" si="4"/>
        <v>-18533.32</v>
      </c>
      <c r="E150" s="5">
        <f t="shared" si="5"/>
        <v>18533.32</v>
      </c>
      <c r="F150" s="9">
        <f t="shared" si="6"/>
        <v>0.2341603305785124</v>
      </c>
      <c r="G150" s="9">
        <f t="shared" si="7"/>
        <v>0.76583966942148762</v>
      </c>
    </row>
    <row r="151" spans="1:7" hidden="1" x14ac:dyDescent="0.25">
      <c r="A151" s="3" t="s">
        <v>67</v>
      </c>
      <c r="B151" s="5">
        <v>2666.68</v>
      </c>
      <c r="C151" s="5">
        <f>800</f>
        <v>800</v>
      </c>
      <c r="D151" s="5">
        <f t="shared" si="4"/>
        <v>1866.6799999999998</v>
      </c>
      <c r="E151" s="5">
        <f t="shared" si="5"/>
        <v>-1866.6799999999998</v>
      </c>
      <c r="F151" s="9">
        <f t="shared" si="6"/>
        <v>3.3333499999999998</v>
      </c>
      <c r="G151" s="9">
        <f t="shared" si="7"/>
        <v>-2.3333499999999998</v>
      </c>
    </row>
    <row r="152" spans="1:7" hidden="1" x14ac:dyDescent="0.25">
      <c r="A152" s="3" t="s">
        <v>68</v>
      </c>
      <c r="B152" s="7">
        <f>((B149)+(B150))+(B151)</f>
        <v>8333.36</v>
      </c>
      <c r="C152" s="7">
        <f>((C149)+(C150))+(C151)</f>
        <v>25000</v>
      </c>
      <c r="D152" s="7">
        <f t="shared" si="4"/>
        <v>-16666.64</v>
      </c>
      <c r="E152" s="7">
        <f t="shared" si="5"/>
        <v>16666.64</v>
      </c>
      <c r="F152" s="10">
        <f t="shared" si="6"/>
        <v>0.33333440000000003</v>
      </c>
      <c r="G152" s="10">
        <f t="shared" si="7"/>
        <v>0.66666559999999997</v>
      </c>
    </row>
    <row r="153" spans="1:7" hidden="1" x14ac:dyDescent="0.25">
      <c r="A153" s="3" t="s">
        <v>69</v>
      </c>
      <c r="B153" s="4"/>
      <c r="C153" s="4"/>
      <c r="D153" s="5">
        <f t="shared" si="4"/>
        <v>0</v>
      </c>
      <c r="E153" s="5">
        <f t="shared" si="5"/>
        <v>0</v>
      </c>
      <c r="F153" s="9" t="str">
        <f t="shared" si="6"/>
        <v/>
      </c>
      <c r="G153" s="9" t="str">
        <f t="shared" si="7"/>
        <v/>
      </c>
    </row>
    <row r="154" spans="1:7" hidden="1" x14ac:dyDescent="0.25">
      <c r="A154" s="3" t="s">
        <v>70</v>
      </c>
      <c r="B154" s="5">
        <v>2222.2399999999998</v>
      </c>
      <c r="C154" s="5">
        <f>6666.67</f>
        <v>6666.67</v>
      </c>
      <c r="D154" s="5">
        <f t="shared" si="4"/>
        <v>-4444.43</v>
      </c>
      <c r="E154" s="5">
        <f t="shared" si="5"/>
        <v>4444.43</v>
      </c>
      <c r="F154" s="9">
        <f t="shared" si="6"/>
        <v>0.33333583333208328</v>
      </c>
      <c r="G154" s="9">
        <f t="shared" si="7"/>
        <v>0.66666416666791672</v>
      </c>
    </row>
    <row r="155" spans="1:7" hidden="1" x14ac:dyDescent="0.25">
      <c r="A155" s="3" t="s">
        <v>71</v>
      </c>
      <c r="B155" s="5">
        <v>2110.46</v>
      </c>
      <c r="C155" s="5">
        <f>2000</f>
        <v>2000</v>
      </c>
      <c r="D155" s="5">
        <f t="shared" si="4"/>
        <v>110.46000000000004</v>
      </c>
      <c r="E155" s="5">
        <f t="shared" si="5"/>
        <v>-110.46000000000004</v>
      </c>
      <c r="F155" s="9">
        <f t="shared" si="6"/>
        <v>1.0552300000000001</v>
      </c>
      <c r="G155" s="9">
        <f t="shared" si="7"/>
        <v>-5.5230000000000015E-2</v>
      </c>
    </row>
    <row r="156" spans="1:7" hidden="1" x14ac:dyDescent="0.25">
      <c r="A156" s="3" t="s">
        <v>72</v>
      </c>
      <c r="B156" s="7">
        <f>(B154)+(B155)</f>
        <v>4332.7</v>
      </c>
      <c r="C156" s="7">
        <f>(C154)+(C155)</f>
        <v>8666.67</v>
      </c>
      <c r="D156" s="7">
        <f t="shared" si="4"/>
        <v>-4333.97</v>
      </c>
      <c r="E156" s="7">
        <f t="shared" si="5"/>
        <v>4333.97</v>
      </c>
      <c r="F156" s="10">
        <f t="shared" si="6"/>
        <v>0.49992673079741123</v>
      </c>
      <c r="G156" s="10">
        <f t="shared" si="7"/>
        <v>0.50007326920258877</v>
      </c>
    </row>
    <row r="157" spans="1:7" hidden="1" x14ac:dyDescent="0.25">
      <c r="A157" s="3" t="s">
        <v>73</v>
      </c>
      <c r="B157" s="7">
        <f>(B153)+(B156)</f>
        <v>4332.7</v>
      </c>
      <c r="C157" s="7">
        <f>(C153)+(C156)</f>
        <v>8666.67</v>
      </c>
      <c r="D157" s="7">
        <f t="shared" si="4"/>
        <v>-4333.97</v>
      </c>
      <c r="E157" s="7">
        <f t="shared" si="5"/>
        <v>4333.97</v>
      </c>
      <c r="F157" s="10">
        <f t="shared" si="6"/>
        <v>0.49992673079741123</v>
      </c>
      <c r="G157" s="10">
        <f t="shared" si="7"/>
        <v>0.50007326920258877</v>
      </c>
    </row>
    <row r="158" spans="1:7" x14ac:dyDescent="0.25">
      <c r="A158" s="3" t="s">
        <v>143</v>
      </c>
      <c r="B158" s="4"/>
      <c r="C158" s="5">
        <f>703.33</f>
        <v>703.33</v>
      </c>
      <c r="D158" s="5">
        <f t="shared" si="4"/>
        <v>-703.33</v>
      </c>
      <c r="E158" s="5">
        <f t="shared" si="5"/>
        <v>703.33</v>
      </c>
      <c r="F158" s="9">
        <f t="shared" si="6"/>
        <v>0</v>
      </c>
      <c r="G158" s="9">
        <f t="shared" si="7"/>
        <v>1</v>
      </c>
    </row>
    <row r="159" spans="1:7" x14ac:dyDescent="0.25">
      <c r="A159" s="3" t="s">
        <v>74</v>
      </c>
      <c r="B159" s="7">
        <f>(((B148)+(B152))+(B157))+(B158)</f>
        <v>12666.060000000001</v>
      </c>
      <c r="C159" s="7">
        <f>(((C148)+(C152))+(C157))+(C158)</f>
        <v>34370</v>
      </c>
      <c r="D159" s="7">
        <f t="shared" si="4"/>
        <v>-21703.94</v>
      </c>
      <c r="E159" s="7">
        <f t="shared" si="5"/>
        <v>21703.94</v>
      </c>
      <c r="F159" s="10">
        <f t="shared" si="6"/>
        <v>0.36852080302589474</v>
      </c>
      <c r="G159" s="10">
        <f t="shared" si="7"/>
        <v>0.63147919697410526</v>
      </c>
    </row>
    <row r="160" spans="1:7" hidden="1" x14ac:dyDescent="0.25">
      <c r="A160" s="3" t="s">
        <v>75</v>
      </c>
      <c r="B160" s="5">
        <f>50</f>
        <v>50</v>
      </c>
      <c r="C160" s="4"/>
      <c r="D160" s="5">
        <f t="shared" si="4"/>
        <v>50</v>
      </c>
      <c r="E160" s="5">
        <f t="shared" si="5"/>
        <v>-50</v>
      </c>
      <c r="F160" s="9" t="str">
        <f t="shared" si="6"/>
        <v/>
      </c>
      <c r="G160" s="9" t="str">
        <f t="shared" si="7"/>
        <v/>
      </c>
    </row>
    <row r="161" spans="1:7" x14ac:dyDescent="0.25">
      <c r="A161" s="3" t="s">
        <v>76</v>
      </c>
      <c r="B161" s="5">
        <v>2369.4899999999998</v>
      </c>
      <c r="C161" s="5">
        <f>15000</f>
        <v>15000</v>
      </c>
      <c r="D161" s="5">
        <f t="shared" si="4"/>
        <v>-12630.51</v>
      </c>
      <c r="E161" s="5">
        <f t="shared" si="5"/>
        <v>12630.51</v>
      </c>
      <c r="F161" s="9">
        <f t="shared" si="6"/>
        <v>0.157966</v>
      </c>
      <c r="G161" s="9">
        <f t="shared" si="7"/>
        <v>0.84203400000000006</v>
      </c>
    </row>
    <row r="162" spans="1:7" x14ac:dyDescent="0.25">
      <c r="A162" s="3" t="s">
        <v>77</v>
      </c>
      <c r="B162" s="7">
        <f>(B160)+(B161)</f>
        <v>2419.4899999999998</v>
      </c>
      <c r="C162" s="7">
        <f>(C160)+(C161)</f>
        <v>15000</v>
      </c>
      <c r="D162" s="7">
        <f t="shared" si="4"/>
        <v>-12580.51</v>
      </c>
      <c r="E162" s="7">
        <f t="shared" si="5"/>
        <v>12580.51</v>
      </c>
      <c r="F162" s="10">
        <f t="shared" si="6"/>
        <v>0.16129933333333332</v>
      </c>
      <c r="G162" s="10">
        <f t="shared" si="7"/>
        <v>0.83870066666666665</v>
      </c>
    </row>
    <row r="163" spans="1:7" x14ac:dyDescent="0.25">
      <c r="A163" s="3" t="s">
        <v>78</v>
      </c>
      <c r="B163" s="7">
        <f>((B147)+(B159))+(B162)</f>
        <v>15085.550000000001</v>
      </c>
      <c r="C163" s="7">
        <f>((C147)+(C159))+(C162)</f>
        <v>49370</v>
      </c>
      <c r="D163" s="7">
        <f t="shared" si="4"/>
        <v>-34284.449999999997</v>
      </c>
      <c r="E163" s="7">
        <f t="shared" si="5"/>
        <v>34284.449999999997</v>
      </c>
      <c r="F163" s="10">
        <f t="shared" si="6"/>
        <v>0.30556106947538991</v>
      </c>
      <c r="G163" s="10">
        <f t="shared" si="7"/>
        <v>0.69443893052461003</v>
      </c>
    </row>
    <row r="164" spans="1:7" x14ac:dyDescent="0.25">
      <c r="A164" s="3" t="s">
        <v>79</v>
      </c>
      <c r="B164" s="4"/>
      <c r="C164" s="4"/>
      <c r="D164" s="5">
        <f t="shared" si="4"/>
        <v>0</v>
      </c>
      <c r="E164" s="5">
        <f t="shared" si="5"/>
        <v>0</v>
      </c>
      <c r="F164" s="9" t="str">
        <f t="shared" si="6"/>
        <v/>
      </c>
      <c r="G164" s="9" t="str">
        <f t="shared" si="7"/>
        <v/>
      </c>
    </row>
    <row r="165" spans="1:7" x14ac:dyDescent="0.25">
      <c r="A165" s="3" t="s">
        <v>80</v>
      </c>
      <c r="B165" s="4"/>
      <c r="C165" s="4"/>
      <c r="D165" s="5">
        <f t="shared" si="4"/>
        <v>0</v>
      </c>
      <c r="E165" s="5">
        <f t="shared" si="5"/>
        <v>0</v>
      </c>
      <c r="F165" s="9" t="str">
        <f t="shared" si="6"/>
        <v/>
      </c>
      <c r="G165" s="9" t="str">
        <f t="shared" si="7"/>
        <v/>
      </c>
    </row>
    <row r="166" spans="1:7" hidden="1" x14ac:dyDescent="0.25">
      <c r="A166" s="3" t="s">
        <v>81</v>
      </c>
      <c r="B166" s="4"/>
      <c r="C166" s="4"/>
      <c r="D166" s="5">
        <f t="shared" si="4"/>
        <v>0</v>
      </c>
      <c r="E166" s="5">
        <f t="shared" si="5"/>
        <v>0</v>
      </c>
      <c r="F166" s="9" t="str">
        <f t="shared" si="6"/>
        <v/>
      </c>
      <c r="G166" s="9" t="str">
        <f t="shared" si="7"/>
        <v/>
      </c>
    </row>
    <row r="167" spans="1:7" hidden="1" x14ac:dyDescent="0.25">
      <c r="A167" s="3" t="s">
        <v>82</v>
      </c>
      <c r="B167" s="5">
        <v>5666.64</v>
      </c>
      <c r="C167" s="5">
        <f>24200</f>
        <v>24200</v>
      </c>
      <c r="D167" s="5">
        <f t="shared" si="4"/>
        <v>-18533.36</v>
      </c>
      <c r="E167" s="5">
        <f t="shared" si="5"/>
        <v>18533.36</v>
      </c>
      <c r="F167" s="9">
        <f t="shared" si="6"/>
        <v>0.23415867768595042</v>
      </c>
      <c r="G167" s="9">
        <f t="shared" si="7"/>
        <v>0.76584132231404967</v>
      </c>
    </row>
    <row r="168" spans="1:7" hidden="1" x14ac:dyDescent="0.25">
      <c r="A168" s="3" t="s">
        <v>83</v>
      </c>
      <c r="B168" s="5">
        <v>2666.64</v>
      </c>
      <c r="C168" s="5">
        <f>800</f>
        <v>800</v>
      </c>
      <c r="D168" s="5">
        <f t="shared" si="4"/>
        <v>1866.6399999999999</v>
      </c>
      <c r="E168" s="5">
        <f t="shared" si="5"/>
        <v>-1866.6399999999999</v>
      </c>
      <c r="F168" s="9">
        <f t="shared" si="6"/>
        <v>3.3332999999999999</v>
      </c>
      <c r="G168" s="9">
        <f t="shared" si="7"/>
        <v>-2.3332999999999999</v>
      </c>
    </row>
    <row r="169" spans="1:7" hidden="1" x14ac:dyDescent="0.25">
      <c r="A169" s="3" t="s">
        <v>84</v>
      </c>
      <c r="B169" s="7">
        <f>((B166)+(B167))+(B168)</f>
        <v>8333.2800000000007</v>
      </c>
      <c r="C169" s="7">
        <f>((C166)+(C167))+(C168)</f>
        <v>25000</v>
      </c>
      <c r="D169" s="7">
        <f t="shared" si="4"/>
        <v>-16666.72</v>
      </c>
      <c r="E169" s="7">
        <f t="shared" si="5"/>
        <v>16666.72</v>
      </c>
      <c r="F169" s="10">
        <f t="shared" si="6"/>
        <v>0.33333120000000005</v>
      </c>
      <c r="G169" s="10">
        <f t="shared" si="7"/>
        <v>0.66666880000000006</v>
      </c>
    </row>
    <row r="170" spans="1:7" hidden="1" x14ac:dyDescent="0.25">
      <c r="A170" s="3" t="s">
        <v>85</v>
      </c>
      <c r="B170" s="4"/>
      <c r="C170" s="4"/>
      <c r="D170" s="5">
        <f t="shared" si="4"/>
        <v>0</v>
      </c>
      <c r="E170" s="5">
        <f t="shared" si="5"/>
        <v>0</v>
      </c>
      <c r="F170" s="9" t="str">
        <f t="shared" si="6"/>
        <v/>
      </c>
      <c r="G170" s="9" t="str">
        <f t="shared" si="7"/>
        <v/>
      </c>
    </row>
    <row r="171" spans="1:7" hidden="1" x14ac:dyDescent="0.25">
      <c r="A171" s="3" t="s">
        <v>86</v>
      </c>
      <c r="B171" s="5">
        <v>2222.1999999999998</v>
      </c>
      <c r="C171" s="5">
        <f>6666.67</f>
        <v>6666.67</v>
      </c>
      <c r="D171" s="5">
        <f t="shared" si="4"/>
        <v>-4444.47</v>
      </c>
      <c r="E171" s="5">
        <f t="shared" si="5"/>
        <v>4444.47</v>
      </c>
      <c r="F171" s="9">
        <f t="shared" si="6"/>
        <v>0.33332983333508331</v>
      </c>
      <c r="G171" s="9">
        <f t="shared" si="7"/>
        <v>0.66667016666491674</v>
      </c>
    </row>
    <row r="172" spans="1:7" hidden="1" x14ac:dyDescent="0.25">
      <c r="A172" s="3" t="s">
        <v>87</v>
      </c>
      <c r="B172" s="4">
        <v>80.84</v>
      </c>
      <c r="C172" s="5">
        <f>2000</f>
        <v>2000</v>
      </c>
      <c r="D172" s="5">
        <f t="shared" si="4"/>
        <v>-1919.16</v>
      </c>
      <c r="E172" s="5">
        <f t="shared" si="5"/>
        <v>1919.16</v>
      </c>
      <c r="F172" s="9">
        <f t="shared" si="6"/>
        <v>4.0420000000000005E-2</v>
      </c>
      <c r="G172" s="9">
        <f t="shared" si="7"/>
        <v>0.95957999999999999</v>
      </c>
    </row>
    <row r="173" spans="1:7" hidden="1" x14ac:dyDescent="0.25">
      <c r="A173" s="3" t="s">
        <v>88</v>
      </c>
      <c r="B173" s="7">
        <f>(B171)+(B172)</f>
        <v>2303.04</v>
      </c>
      <c r="C173" s="7">
        <f>(C171)+(C172)</f>
        <v>8666.67</v>
      </c>
      <c r="D173" s="7">
        <f t="shared" si="4"/>
        <v>-6363.63</v>
      </c>
      <c r="E173" s="7">
        <f t="shared" si="5"/>
        <v>6363.63</v>
      </c>
      <c r="F173" s="10">
        <f t="shared" si="6"/>
        <v>0.26573528240950678</v>
      </c>
      <c r="G173" s="10">
        <f t="shared" si="7"/>
        <v>0.73426471759049328</v>
      </c>
    </row>
    <row r="174" spans="1:7" hidden="1" x14ac:dyDescent="0.25">
      <c r="A174" s="3" t="s">
        <v>89</v>
      </c>
      <c r="B174" s="7">
        <f>(B170)+(B173)</f>
        <v>2303.04</v>
      </c>
      <c r="C174" s="7">
        <f>(C170)+(C173)</f>
        <v>8666.67</v>
      </c>
      <c r="D174" s="7">
        <f t="shared" si="4"/>
        <v>-6363.63</v>
      </c>
      <c r="E174" s="7">
        <f t="shared" si="5"/>
        <v>6363.63</v>
      </c>
      <c r="F174" s="10">
        <f t="shared" si="6"/>
        <v>0.26573528240950678</v>
      </c>
      <c r="G174" s="10">
        <f t="shared" si="7"/>
        <v>0.73426471759049328</v>
      </c>
    </row>
    <row r="175" spans="1:7" x14ac:dyDescent="0.25">
      <c r="A175" s="3" t="s">
        <v>90</v>
      </c>
      <c r="B175" s="7">
        <f>((B165)+(B169))+(B174)</f>
        <v>10636.32</v>
      </c>
      <c r="C175" s="7">
        <f>((C165)+(C169))+(C174)</f>
        <v>33666.67</v>
      </c>
      <c r="D175" s="7">
        <f t="shared" si="4"/>
        <v>-23030.35</v>
      </c>
      <c r="E175" s="7">
        <f t="shared" si="5"/>
        <v>23030.35</v>
      </c>
      <c r="F175" s="10">
        <f t="shared" si="6"/>
        <v>0.31593026574947863</v>
      </c>
      <c r="G175" s="10">
        <f t="shared" si="7"/>
        <v>0.68406973425052131</v>
      </c>
    </row>
    <row r="176" spans="1:7" x14ac:dyDescent="0.25">
      <c r="A176" s="3" t="s">
        <v>144</v>
      </c>
      <c r="B176" s="4"/>
      <c r="C176" s="4"/>
      <c r="D176" s="5">
        <f t="shared" si="4"/>
        <v>0</v>
      </c>
      <c r="E176" s="5">
        <f t="shared" si="5"/>
        <v>0</v>
      </c>
      <c r="F176" s="9" t="str">
        <f t="shared" si="6"/>
        <v/>
      </c>
      <c r="G176" s="9" t="str">
        <f t="shared" si="7"/>
        <v/>
      </c>
    </row>
    <row r="177" spans="1:7" hidden="1" x14ac:dyDescent="0.25">
      <c r="A177" s="3" t="s">
        <v>145</v>
      </c>
      <c r="B177" s="4"/>
      <c r="C177" s="5">
        <f>703.33</f>
        <v>703.33</v>
      </c>
      <c r="D177" s="5">
        <f t="shared" si="4"/>
        <v>-703.33</v>
      </c>
      <c r="E177" s="5">
        <f t="shared" si="5"/>
        <v>703.33</v>
      </c>
      <c r="F177" s="9">
        <f t="shared" si="6"/>
        <v>0</v>
      </c>
      <c r="G177" s="9">
        <f t="shared" si="7"/>
        <v>1</v>
      </c>
    </row>
    <row r="178" spans="1:7" hidden="1" x14ac:dyDescent="0.25">
      <c r="A178" s="3" t="s">
        <v>146</v>
      </c>
      <c r="B178" s="4"/>
      <c r="C178" s="5">
        <f>15000</f>
        <v>15000</v>
      </c>
      <c r="D178" s="5">
        <f t="shared" si="4"/>
        <v>-15000</v>
      </c>
      <c r="E178" s="5">
        <f t="shared" si="5"/>
        <v>15000</v>
      </c>
      <c r="F178" s="9">
        <f t="shared" si="6"/>
        <v>0</v>
      </c>
      <c r="G178" s="9">
        <f t="shared" si="7"/>
        <v>1</v>
      </c>
    </row>
    <row r="179" spans="1:7" x14ac:dyDescent="0.25">
      <c r="A179" s="3" t="s">
        <v>91</v>
      </c>
      <c r="B179" s="4">
        <v>900</v>
      </c>
      <c r="C179" s="5"/>
      <c r="D179" s="5"/>
      <c r="E179" s="5"/>
      <c r="F179" s="9"/>
      <c r="G179" s="9"/>
    </row>
    <row r="180" spans="1:7" x14ac:dyDescent="0.25">
      <c r="A180" s="3" t="s">
        <v>147</v>
      </c>
      <c r="B180" s="7">
        <f>((B176)+(B177))+(B178)</f>
        <v>0</v>
      </c>
      <c r="C180" s="7">
        <f>((C176)+(C177))+(C178)</f>
        <v>15703.33</v>
      </c>
      <c r="D180" s="7">
        <f t="shared" si="4"/>
        <v>-15703.33</v>
      </c>
      <c r="E180" s="7">
        <f t="shared" si="5"/>
        <v>15703.33</v>
      </c>
      <c r="F180" s="10">
        <f t="shared" si="6"/>
        <v>0</v>
      </c>
      <c r="G180" s="10">
        <f t="shared" si="7"/>
        <v>1</v>
      </c>
    </row>
    <row r="181" spans="1:7" x14ac:dyDescent="0.25">
      <c r="A181" s="3" t="s">
        <v>92</v>
      </c>
      <c r="B181" s="7">
        <f>((B164)+(B175))+(B179)</f>
        <v>11536.32</v>
      </c>
      <c r="C181" s="7">
        <f>((C164)+(C175))+(C180)</f>
        <v>49370</v>
      </c>
      <c r="D181" s="7">
        <f t="shared" si="4"/>
        <v>-37833.68</v>
      </c>
      <c r="E181" s="7">
        <f t="shared" si="5"/>
        <v>37833.68</v>
      </c>
      <c r="F181" s="10">
        <f t="shared" si="6"/>
        <v>0.23367065019242456</v>
      </c>
      <c r="G181" s="10">
        <f t="shared" si="7"/>
        <v>0.7663293498075755</v>
      </c>
    </row>
    <row r="182" spans="1:7" x14ac:dyDescent="0.25">
      <c r="A182" s="3" t="s">
        <v>93</v>
      </c>
      <c r="B182" s="4"/>
      <c r="C182" s="4"/>
      <c r="D182" s="5">
        <f t="shared" si="4"/>
        <v>0</v>
      </c>
      <c r="E182" s="5">
        <f t="shared" si="5"/>
        <v>0</v>
      </c>
      <c r="F182" s="9" t="str">
        <f t="shared" si="6"/>
        <v/>
      </c>
      <c r="G182" s="9" t="str">
        <f t="shared" si="7"/>
        <v/>
      </c>
    </row>
    <row r="183" spans="1:7" x14ac:dyDescent="0.25">
      <c r="A183" s="3" t="s">
        <v>94</v>
      </c>
      <c r="B183" s="4"/>
      <c r="C183" s="4"/>
      <c r="D183" s="5">
        <f t="shared" si="4"/>
        <v>0</v>
      </c>
      <c r="E183" s="5">
        <f t="shared" si="5"/>
        <v>0</v>
      </c>
      <c r="F183" s="9" t="str">
        <f t="shared" si="6"/>
        <v/>
      </c>
      <c r="G183" s="9" t="str">
        <f t="shared" si="7"/>
        <v/>
      </c>
    </row>
    <row r="184" spans="1:7" hidden="1" x14ac:dyDescent="0.25">
      <c r="A184" s="3" t="s">
        <v>95</v>
      </c>
      <c r="B184" s="4"/>
      <c r="C184" s="4"/>
      <c r="D184" s="5">
        <f t="shared" si="4"/>
        <v>0</v>
      </c>
      <c r="E184" s="5">
        <f t="shared" si="5"/>
        <v>0</v>
      </c>
      <c r="F184" s="9" t="str">
        <f t="shared" si="6"/>
        <v/>
      </c>
      <c r="G184" s="9" t="str">
        <f t="shared" si="7"/>
        <v/>
      </c>
    </row>
    <row r="185" spans="1:7" hidden="1" x14ac:dyDescent="0.25">
      <c r="A185" s="3" t="s">
        <v>96</v>
      </c>
      <c r="B185" s="5">
        <v>5666.64</v>
      </c>
      <c r="C185" s="5">
        <f>24200</f>
        <v>24200</v>
      </c>
      <c r="D185" s="5">
        <f t="shared" si="4"/>
        <v>-18533.36</v>
      </c>
      <c r="E185" s="5">
        <f t="shared" si="5"/>
        <v>18533.36</v>
      </c>
      <c r="F185" s="9">
        <f t="shared" si="6"/>
        <v>0.23415867768595042</v>
      </c>
      <c r="G185" s="9">
        <f t="shared" si="7"/>
        <v>0.76584132231404967</v>
      </c>
    </row>
    <row r="186" spans="1:7" hidden="1" x14ac:dyDescent="0.25">
      <c r="A186" s="3" t="s">
        <v>97</v>
      </c>
      <c r="B186" s="5">
        <v>2666.72</v>
      </c>
      <c r="C186" s="5">
        <f>800</f>
        <v>800</v>
      </c>
      <c r="D186" s="5">
        <f t="shared" si="4"/>
        <v>1866.7199999999998</v>
      </c>
      <c r="E186" s="5">
        <f t="shared" si="5"/>
        <v>-1866.7199999999998</v>
      </c>
      <c r="F186" s="9">
        <f t="shared" si="6"/>
        <v>3.3333999999999997</v>
      </c>
      <c r="G186" s="9">
        <f t="shared" si="7"/>
        <v>-2.3333999999999997</v>
      </c>
    </row>
    <row r="187" spans="1:7" hidden="1" x14ac:dyDescent="0.25">
      <c r="A187" s="3" t="s">
        <v>98</v>
      </c>
      <c r="B187" s="7">
        <f>((B184)+(B185))+(B186)</f>
        <v>8333.36</v>
      </c>
      <c r="C187" s="7">
        <f>((C184)+(C185))+(C186)</f>
        <v>25000</v>
      </c>
      <c r="D187" s="7">
        <f t="shared" si="4"/>
        <v>-16666.64</v>
      </c>
      <c r="E187" s="7">
        <f t="shared" si="5"/>
        <v>16666.64</v>
      </c>
      <c r="F187" s="10">
        <f t="shared" si="6"/>
        <v>0.33333440000000003</v>
      </c>
      <c r="G187" s="10">
        <f t="shared" si="7"/>
        <v>0.66666559999999997</v>
      </c>
    </row>
    <row r="188" spans="1:7" hidden="1" x14ac:dyDescent="0.25">
      <c r="A188" s="3" t="s">
        <v>99</v>
      </c>
      <c r="B188" s="4"/>
      <c r="C188" s="4"/>
      <c r="D188" s="5">
        <f t="shared" si="4"/>
        <v>0</v>
      </c>
      <c r="E188" s="5">
        <f t="shared" si="5"/>
        <v>0</v>
      </c>
      <c r="F188" s="9" t="str">
        <f t="shared" si="6"/>
        <v/>
      </c>
      <c r="G188" s="9" t="str">
        <f t="shared" si="7"/>
        <v/>
      </c>
    </row>
    <row r="189" spans="1:7" hidden="1" x14ac:dyDescent="0.25">
      <c r="A189" s="3" t="s">
        <v>100</v>
      </c>
      <c r="B189" s="4">
        <v>1150</v>
      </c>
      <c r="C189" s="4"/>
      <c r="D189" s="5"/>
      <c r="E189" s="5"/>
      <c r="F189" s="9"/>
      <c r="G189" s="9"/>
    </row>
    <row r="190" spans="1:7" hidden="1" x14ac:dyDescent="0.25">
      <c r="A190" s="3" t="s">
        <v>101</v>
      </c>
      <c r="B190" s="5">
        <v>2222.2399999999998</v>
      </c>
      <c r="C190" s="5">
        <f>6666.67</f>
        <v>6666.67</v>
      </c>
      <c r="D190" s="5">
        <f t="shared" si="4"/>
        <v>-4444.43</v>
      </c>
      <c r="E190" s="5">
        <f t="shared" si="5"/>
        <v>4444.43</v>
      </c>
      <c r="F190" s="9">
        <f t="shared" si="6"/>
        <v>0.33333583333208328</v>
      </c>
      <c r="G190" s="9">
        <f t="shared" si="7"/>
        <v>0.66666416666791672</v>
      </c>
    </row>
    <row r="191" spans="1:7" hidden="1" x14ac:dyDescent="0.25">
      <c r="A191" s="3" t="s">
        <v>102</v>
      </c>
      <c r="B191" s="5">
        <v>7413.32</v>
      </c>
      <c r="C191" s="5">
        <f>2000</f>
        <v>2000</v>
      </c>
      <c r="D191" s="5">
        <f t="shared" si="4"/>
        <v>5413.32</v>
      </c>
      <c r="E191" s="5">
        <f t="shared" si="5"/>
        <v>-5413.32</v>
      </c>
      <c r="F191" s="9">
        <f t="shared" si="6"/>
        <v>3.7066599999999998</v>
      </c>
      <c r="G191" s="9">
        <f t="shared" si="7"/>
        <v>-2.7066599999999998</v>
      </c>
    </row>
    <row r="192" spans="1:7" hidden="1" x14ac:dyDescent="0.25">
      <c r="A192" s="3" t="s">
        <v>103</v>
      </c>
      <c r="B192" s="7">
        <f>(B190)+(B191)</f>
        <v>9635.56</v>
      </c>
      <c r="C192" s="7">
        <f>(C190)+(C191)</f>
        <v>8666.67</v>
      </c>
      <c r="D192" s="7">
        <f t="shared" si="4"/>
        <v>968.88999999999942</v>
      </c>
      <c r="E192" s="7">
        <f t="shared" si="5"/>
        <v>-968.88999999999942</v>
      </c>
      <c r="F192" s="10">
        <f t="shared" si="6"/>
        <v>1.1117949570019396</v>
      </c>
      <c r="G192" s="10">
        <f t="shared" si="7"/>
        <v>-0.11179495700193955</v>
      </c>
    </row>
    <row r="193" spans="1:7" hidden="1" x14ac:dyDescent="0.25">
      <c r="A193" s="3" t="s">
        <v>104</v>
      </c>
      <c r="B193" s="7">
        <f>(B189)+(B192)</f>
        <v>10785.56</v>
      </c>
      <c r="C193" s="7">
        <f>(C188)+(C192)</f>
        <v>8666.67</v>
      </c>
      <c r="D193" s="7">
        <f t="shared" si="4"/>
        <v>2118.8899999999994</v>
      </c>
      <c r="E193" s="7">
        <f t="shared" si="5"/>
        <v>-2118.8899999999994</v>
      </c>
      <c r="F193" s="10">
        <f t="shared" si="6"/>
        <v>1.2444872136587639</v>
      </c>
      <c r="G193" s="10">
        <f t="shared" si="7"/>
        <v>-0.24448721365876391</v>
      </c>
    </row>
    <row r="194" spans="1:7" hidden="1" x14ac:dyDescent="0.25">
      <c r="A194" s="3" t="s">
        <v>148</v>
      </c>
      <c r="B194" s="4"/>
      <c r="C194" s="5">
        <f>703.33</f>
        <v>703.33</v>
      </c>
      <c r="D194" s="5">
        <f t="shared" si="4"/>
        <v>-703.33</v>
      </c>
      <c r="E194" s="5">
        <f t="shared" si="5"/>
        <v>703.33</v>
      </c>
      <c r="F194" s="9">
        <f t="shared" si="6"/>
        <v>0</v>
      </c>
      <c r="G194" s="9">
        <f t="shared" si="7"/>
        <v>1</v>
      </c>
    </row>
    <row r="195" spans="1:7" x14ac:dyDescent="0.25">
      <c r="A195" s="3" t="s">
        <v>105</v>
      </c>
      <c r="B195" s="7">
        <f>(((B183)+(B187))+(B193))+(B194)</f>
        <v>19118.919999999998</v>
      </c>
      <c r="C195" s="7">
        <f>(((C183)+(C187))+(C193))+(C194)</f>
        <v>34370</v>
      </c>
      <c r="D195" s="7">
        <f t="shared" si="4"/>
        <v>-15251.080000000002</v>
      </c>
      <c r="E195" s="7">
        <f t="shared" si="5"/>
        <v>15251.080000000002</v>
      </c>
      <c r="F195" s="10">
        <f t="shared" si="6"/>
        <v>0.55626767529822518</v>
      </c>
      <c r="G195" s="10">
        <f t="shared" si="7"/>
        <v>0.44373232470177487</v>
      </c>
    </row>
    <row r="196" spans="1:7" x14ac:dyDescent="0.25">
      <c r="A196" s="3" t="s">
        <v>149</v>
      </c>
      <c r="B196" s="4">
        <v>1692</v>
      </c>
      <c r="C196" s="5">
        <f>15000</f>
        <v>15000</v>
      </c>
      <c r="D196" s="5">
        <f t="shared" si="4"/>
        <v>-13308</v>
      </c>
      <c r="E196" s="5">
        <f t="shared" si="5"/>
        <v>13308</v>
      </c>
      <c r="F196" s="9">
        <f t="shared" si="6"/>
        <v>0.1128</v>
      </c>
      <c r="G196" s="9">
        <f t="shared" si="7"/>
        <v>0.88719999999999999</v>
      </c>
    </row>
    <row r="197" spans="1:7" x14ac:dyDescent="0.25">
      <c r="A197" s="3" t="s">
        <v>106</v>
      </c>
      <c r="B197" s="7">
        <f>((B182)+(B195))+(B196)</f>
        <v>20810.919999999998</v>
      </c>
      <c r="C197" s="7">
        <f>((C182)+(C195))+(C196)</f>
        <v>49370</v>
      </c>
      <c r="D197" s="7">
        <f t="shared" si="4"/>
        <v>-28559.08</v>
      </c>
      <c r="E197" s="7">
        <f t="shared" si="5"/>
        <v>28559.08</v>
      </c>
      <c r="F197" s="10">
        <f t="shared" si="6"/>
        <v>0.42152967389102691</v>
      </c>
      <c r="G197" s="10">
        <f t="shared" si="7"/>
        <v>0.57847032610897309</v>
      </c>
    </row>
    <row r="198" spans="1:7" x14ac:dyDescent="0.25">
      <c r="A198" s="3" t="s">
        <v>107</v>
      </c>
      <c r="B198" s="4"/>
      <c r="C198" s="4"/>
      <c r="D198" s="5">
        <f t="shared" si="4"/>
        <v>0</v>
      </c>
      <c r="E198" s="5">
        <f t="shared" si="5"/>
        <v>0</v>
      </c>
      <c r="F198" s="9" t="str">
        <f t="shared" si="6"/>
        <v/>
      </c>
      <c r="G198" s="9" t="str">
        <f t="shared" si="7"/>
        <v/>
      </c>
    </row>
    <row r="199" spans="1:7" x14ac:dyDescent="0.25">
      <c r="A199" s="3" t="s">
        <v>108</v>
      </c>
      <c r="B199" s="4"/>
      <c r="C199" s="4"/>
      <c r="D199" s="5">
        <f t="shared" si="4"/>
        <v>0</v>
      </c>
      <c r="E199" s="5">
        <f t="shared" si="5"/>
        <v>0</v>
      </c>
      <c r="F199" s="9" t="str">
        <f t="shared" si="6"/>
        <v/>
      </c>
      <c r="G199" s="9" t="str">
        <f t="shared" si="7"/>
        <v/>
      </c>
    </row>
    <row r="200" spans="1:7" x14ac:dyDescent="0.25">
      <c r="A200" s="3" t="s">
        <v>109</v>
      </c>
      <c r="B200" s="5">
        <v>4840</v>
      </c>
      <c r="C200" s="5">
        <f>14520</f>
        <v>14520</v>
      </c>
      <c r="D200" s="5">
        <f t="shared" ref="D200:D221" si="8">(B200)-(C200)</f>
        <v>-9680</v>
      </c>
      <c r="E200" s="5">
        <f t="shared" ref="E200:E221" si="9">(C200)-(B200)</f>
        <v>9680</v>
      </c>
      <c r="F200" s="9">
        <f t="shared" ref="F200:F221" si="10">IF(C200=0,"",(B200)/(C200))</f>
        <v>0.33333333333333331</v>
      </c>
      <c r="G200" s="9">
        <f t="shared" ref="G200:G221" si="11">IF(C200=0,"",(E200)/(C200))</f>
        <v>0.66666666666666663</v>
      </c>
    </row>
    <row r="201" spans="1:7" x14ac:dyDescent="0.25">
      <c r="A201" s="3" t="s">
        <v>110</v>
      </c>
      <c r="B201" s="7">
        <f>(B199)+(B200)</f>
        <v>4840</v>
      </c>
      <c r="C201" s="7">
        <f>(C199)+(C200)</f>
        <v>14520</v>
      </c>
      <c r="D201" s="7">
        <f t="shared" si="8"/>
        <v>-9680</v>
      </c>
      <c r="E201" s="7">
        <f t="shared" si="9"/>
        <v>9680</v>
      </c>
      <c r="F201" s="10">
        <f t="shared" si="10"/>
        <v>0.33333333333333331</v>
      </c>
      <c r="G201" s="10">
        <f t="shared" si="11"/>
        <v>0.66666666666666663</v>
      </c>
    </row>
    <row r="202" spans="1:7" x14ac:dyDescent="0.25">
      <c r="A202" s="3" t="s">
        <v>111</v>
      </c>
      <c r="B202" s="4"/>
      <c r="C202" s="4"/>
      <c r="D202" s="5">
        <f t="shared" si="8"/>
        <v>0</v>
      </c>
      <c r="E202" s="5">
        <f t="shared" si="9"/>
        <v>0</v>
      </c>
      <c r="F202" s="9" t="str">
        <f t="shared" si="10"/>
        <v/>
      </c>
      <c r="G202" s="9" t="str">
        <f t="shared" si="11"/>
        <v/>
      </c>
    </row>
    <row r="203" spans="1:7" x14ac:dyDescent="0.25">
      <c r="A203" s="3" t="s">
        <v>150</v>
      </c>
      <c r="B203" s="4"/>
      <c r="C203" s="5">
        <v>6100</v>
      </c>
      <c r="D203" s="5">
        <f t="shared" si="8"/>
        <v>-6100</v>
      </c>
      <c r="E203" s="5">
        <f t="shared" si="9"/>
        <v>6100</v>
      </c>
      <c r="F203" s="9">
        <f t="shared" si="10"/>
        <v>0</v>
      </c>
      <c r="G203" s="9">
        <f t="shared" si="11"/>
        <v>1</v>
      </c>
    </row>
    <row r="204" spans="1:7" x14ac:dyDescent="0.25">
      <c r="A204" s="3" t="s">
        <v>258</v>
      </c>
      <c r="B204" s="4">
        <v>982.28</v>
      </c>
      <c r="C204" s="5">
        <v>1000</v>
      </c>
      <c r="D204" s="5">
        <f t="shared" si="8"/>
        <v>-17.720000000000027</v>
      </c>
      <c r="E204" s="5">
        <f t="shared" si="9"/>
        <v>17.720000000000027</v>
      </c>
      <c r="F204" s="9">
        <f t="shared" ref="F204" si="12">IF(C204=0,"",(B204)/(C204))</f>
        <v>0.98227999999999993</v>
      </c>
      <c r="G204" s="9">
        <f t="shared" ref="G204" si="13">IF(C204=0,"",(E204)/(C204))</f>
        <v>1.7720000000000027E-2</v>
      </c>
    </row>
    <row r="205" spans="1:7" x14ac:dyDescent="0.25">
      <c r="A205" s="3" t="s">
        <v>151</v>
      </c>
      <c r="B205" s="4"/>
      <c r="C205" s="5">
        <f>3050</f>
        <v>3050</v>
      </c>
      <c r="D205" s="5">
        <f t="shared" si="8"/>
        <v>-3050</v>
      </c>
      <c r="E205" s="5">
        <f t="shared" si="9"/>
        <v>3050</v>
      </c>
      <c r="F205" s="9">
        <f t="shared" si="10"/>
        <v>0</v>
      </c>
      <c r="G205" s="9">
        <f t="shared" si="11"/>
        <v>1</v>
      </c>
    </row>
    <row r="206" spans="1:7" x14ac:dyDescent="0.25">
      <c r="A206" s="3" t="s">
        <v>152</v>
      </c>
      <c r="B206" s="4"/>
      <c r="C206" s="5">
        <f>2500</f>
        <v>2500</v>
      </c>
      <c r="D206" s="5">
        <f t="shared" si="8"/>
        <v>-2500</v>
      </c>
      <c r="E206" s="5">
        <f t="shared" si="9"/>
        <v>2500</v>
      </c>
      <c r="F206" s="9">
        <f t="shared" si="10"/>
        <v>0</v>
      </c>
      <c r="G206" s="9">
        <f t="shared" si="11"/>
        <v>1</v>
      </c>
    </row>
    <row r="207" spans="1:7" x14ac:dyDescent="0.25">
      <c r="A207" s="3" t="s">
        <v>153</v>
      </c>
      <c r="B207" s="4"/>
      <c r="C207" s="5">
        <f>1300</f>
        <v>1300</v>
      </c>
      <c r="D207" s="5">
        <f t="shared" si="8"/>
        <v>-1300</v>
      </c>
      <c r="E207" s="5">
        <f t="shared" si="9"/>
        <v>1300</v>
      </c>
      <c r="F207" s="9">
        <f t="shared" si="10"/>
        <v>0</v>
      </c>
      <c r="G207" s="9">
        <f t="shared" si="11"/>
        <v>1</v>
      </c>
    </row>
    <row r="208" spans="1:7" x14ac:dyDescent="0.25">
      <c r="A208" s="3" t="s">
        <v>112</v>
      </c>
      <c r="B208" s="5">
        <v>3876.6</v>
      </c>
      <c r="C208" s="5">
        <f>15000</f>
        <v>15000</v>
      </c>
      <c r="D208" s="5">
        <f t="shared" si="8"/>
        <v>-11123.4</v>
      </c>
      <c r="E208" s="5">
        <f t="shared" si="9"/>
        <v>11123.4</v>
      </c>
      <c r="F208" s="9">
        <f t="shared" si="10"/>
        <v>0.25844</v>
      </c>
      <c r="G208" s="9">
        <f t="shared" si="11"/>
        <v>0.74156</v>
      </c>
    </row>
    <row r="209" spans="1:7" x14ac:dyDescent="0.25">
      <c r="A209" s="3" t="s">
        <v>113</v>
      </c>
      <c r="B209" s="7">
        <f>(((((B202)+(B203))+(B205))+(B206))+(B207))+(B208)+B204</f>
        <v>4858.88</v>
      </c>
      <c r="C209" s="7">
        <f>(((((C202)+(C203))+(C205))+(C206))+(C207))+(C208)</f>
        <v>27950</v>
      </c>
      <c r="D209" s="7">
        <f t="shared" si="8"/>
        <v>-23091.119999999999</v>
      </c>
      <c r="E209" s="7">
        <f t="shared" si="9"/>
        <v>23091.119999999999</v>
      </c>
      <c r="F209" s="10">
        <f t="shared" si="10"/>
        <v>0.17384186046511629</v>
      </c>
      <c r="G209" s="10">
        <f t="shared" si="11"/>
        <v>0.82615813953488371</v>
      </c>
    </row>
    <row r="210" spans="1:7" x14ac:dyDescent="0.25">
      <c r="A210" s="3" t="s">
        <v>114</v>
      </c>
      <c r="B210" s="5">
        <v>1895.66</v>
      </c>
      <c r="C210" s="5">
        <f>2050</f>
        <v>2050</v>
      </c>
      <c r="D210" s="5">
        <f t="shared" si="8"/>
        <v>-154.33999999999992</v>
      </c>
      <c r="E210" s="5">
        <f t="shared" si="9"/>
        <v>154.33999999999992</v>
      </c>
      <c r="F210" s="9">
        <f t="shared" si="10"/>
        <v>0.92471219512195124</v>
      </c>
      <c r="G210" s="9">
        <f t="shared" si="11"/>
        <v>7.5287804878048745E-2</v>
      </c>
    </row>
    <row r="211" spans="1:7" x14ac:dyDescent="0.25">
      <c r="A211" s="3" t="s">
        <v>154</v>
      </c>
      <c r="B211" s="4"/>
      <c r="C211" s="4"/>
      <c r="D211" s="5">
        <f t="shared" si="8"/>
        <v>0</v>
      </c>
      <c r="E211" s="5">
        <f t="shared" si="9"/>
        <v>0</v>
      </c>
      <c r="F211" s="9" t="str">
        <f t="shared" si="10"/>
        <v/>
      </c>
      <c r="G211" s="9" t="str">
        <f t="shared" si="11"/>
        <v/>
      </c>
    </row>
    <row r="212" spans="1:7" x14ac:dyDescent="0.25">
      <c r="A212" s="3" t="s">
        <v>155</v>
      </c>
      <c r="B212" s="4"/>
      <c r="C212" s="5">
        <f>6225</f>
        <v>6225</v>
      </c>
      <c r="D212" s="5">
        <f t="shared" si="8"/>
        <v>-6225</v>
      </c>
      <c r="E212" s="5">
        <f t="shared" si="9"/>
        <v>6225</v>
      </c>
      <c r="F212" s="9">
        <f t="shared" si="10"/>
        <v>0</v>
      </c>
      <c r="G212" s="9">
        <f t="shared" si="11"/>
        <v>1</v>
      </c>
    </row>
    <row r="213" spans="1:7" x14ac:dyDescent="0.25">
      <c r="A213" s="3" t="s">
        <v>156</v>
      </c>
      <c r="B213" s="7">
        <f>(B211)+(B212)</f>
        <v>0</v>
      </c>
      <c r="C213" s="7">
        <f>(C211)+(C212)</f>
        <v>6225</v>
      </c>
      <c r="D213" s="7">
        <f t="shared" si="8"/>
        <v>-6225</v>
      </c>
      <c r="E213" s="7">
        <f t="shared" si="9"/>
        <v>6225</v>
      </c>
      <c r="F213" s="10">
        <f t="shared" si="10"/>
        <v>0</v>
      </c>
      <c r="G213" s="10">
        <f t="shared" si="11"/>
        <v>1</v>
      </c>
    </row>
    <row r="214" spans="1:7" x14ac:dyDescent="0.25">
      <c r="A214" s="3" t="s">
        <v>115</v>
      </c>
      <c r="B214" s="7">
        <f>((((B198)+(B201))+(B209))+(B210))+(B213)</f>
        <v>11594.54</v>
      </c>
      <c r="C214" s="7">
        <f>((((C198)+(C201))+(C209))+(C210))+(C213)</f>
        <v>50745</v>
      </c>
      <c r="D214" s="7">
        <f t="shared" si="8"/>
        <v>-39150.46</v>
      </c>
      <c r="E214" s="7">
        <f t="shared" si="9"/>
        <v>39150.46</v>
      </c>
      <c r="F214" s="10">
        <f t="shared" si="10"/>
        <v>0.22848635333530398</v>
      </c>
      <c r="G214" s="10">
        <f t="shared" si="11"/>
        <v>0.77151364666469602</v>
      </c>
    </row>
    <row r="215" spans="1:7" hidden="1" x14ac:dyDescent="0.25">
      <c r="A215" s="3" t="s">
        <v>116</v>
      </c>
      <c r="B215" s="5">
        <v>-18965.97</v>
      </c>
      <c r="C215" s="4"/>
      <c r="D215" s="5">
        <f t="shared" si="8"/>
        <v>-18965.97</v>
      </c>
      <c r="E215" s="5">
        <f t="shared" si="9"/>
        <v>18965.97</v>
      </c>
      <c r="F215" s="9" t="str">
        <f t="shared" si="10"/>
        <v/>
      </c>
      <c r="G215" s="9" t="str">
        <f t="shared" si="11"/>
        <v/>
      </c>
    </row>
    <row r="216" spans="1:7" hidden="1" x14ac:dyDescent="0.25">
      <c r="A216" s="3" t="s">
        <v>117</v>
      </c>
      <c r="B216" s="5">
        <v>1375.59</v>
      </c>
      <c r="C216" s="4"/>
      <c r="D216" s="5">
        <f t="shared" si="8"/>
        <v>1375.59</v>
      </c>
      <c r="E216" s="5">
        <f t="shared" si="9"/>
        <v>-1375.59</v>
      </c>
      <c r="F216" s="9" t="str">
        <f t="shared" si="10"/>
        <v/>
      </c>
      <c r="G216" s="9" t="str">
        <f t="shared" si="11"/>
        <v/>
      </c>
    </row>
    <row r="217" spans="1:7" hidden="1" x14ac:dyDescent="0.25">
      <c r="A217" s="3" t="s">
        <v>118</v>
      </c>
      <c r="B217" s="5">
        <v>17590.38</v>
      </c>
      <c r="C217" s="4"/>
      <c r="D217" s="5">
        <f t="shared" si="8"/>
        <v>17590.38</v>
      </c>
      <c r="E217" s="5">
        <f t="shared" si="9"/>
        <v>-17590.38</v>
      </c>
      <c r="F217" s="9" t="str">
        <f t="shared" si="10"/>
        <v/>
      </c>
      <c r="G217" s="9" t="str">
        <f t="shared" si="11"/>
        <v/>
      </c>
    </row>
    <row r="218" spans="1:7" x14ac:dyDescent="0.25">
      <c r="A218" s="3" t="s">
        <v>119</v>
      </c>
      <c r="B218" s="7">
        <f>((B215)+(B216))+(B217)</f>
        <v>0</v>
      </c>
      <c r="C218" s="7">
        <f>((C215)+(C216))+(C217)</f>
        <v>0</v>
      </c>
      <c r="D218" s="7">
        <f t="shared" si="8"/>
        <v>0</v>
      </c>
      <c r="E218" s="7">
        <f t="shared" si="9"/>
        <v>0</v>
      </c>
      <c r="F218" s="10" t="str">
        <f t="shared" si="10"/>
        <v/>
      </c>
      <c r="G218" s="10" t="str">
        <f t="shared" si="11"/>
        <v/>
      </c>
    </row>
    <row r="219" spans="1:7" x14ac:dyDescent="0.25">
      <c r="A219" s="3" t="s">
        <v>120</v>
      </c>
      <c r="B219" s="7">
        <f>(((((B146)+(B163))+(B181))+(B197))+(B214))+(B218)</f>
        <v>100398.88</v>
      </c>
      <c r="C219" s="7">
        <f>(((((C146)+(C163))+(C181))+(C197))+(C214))+(C218)</f>
        <v>293370.08999999997</v>
      </c>
      <c r="D219" s="7">
        <f t="shared" si="8"/>
        <v>-192971.20999999996</v>
      </c>
      <c r="E219" s="7">
        <f t="shared" si="9"/>
        <v>192971.20999999996</v>
      </c>
      <c r="F219" s="10">
        <f t="shared" si="10"/>
        <v>0.34222602583651257</v>
      </c>
      <c r="G219" s="10">
        <f t="shared" si="11"/>
        <v>0.65777397416348748</v>
      </c>
    </row>
    <row r="220" spans="1:7" x14ac:dyDescent="0.25">
      <c r="A220" s="3" t="s">
        <v>121</v>
      </c>
      <c r="B220" s="7">
        <f>(B75)-(B219)</f>
        <v>35405.689999999973</v>
      </c>
      <c r="C220" s="7">
        <f>(C75)-(C219)</f>
        <v>1000</v>
      </c>
      <c r="D220" s="7">
        <f t="shared" si="8"/>
        <v>34405.689999999973</v>
      </c>
      <c r="E220" s="7">
        <f t="shared" si="9"/>
        <v>-34405.689999999973</v>
      </c>
      <c r="F220" s="10">
        <f t="shared" si="10"/>
        <v>35.405689999999971</v>
      </c>
      <c r="G220" s="10">
        <f t="shared" si="11"/>
        <v>-34.405689999999971</v>
      </c>
    </row>
    <row r="221" spans="1:7" x14ac:dyDescent="0.25">
      <c r="A221" s="3" t="s">
        <v>122</v>
      </c>
      <c r="B221" s="7">
        <f>(B220)+(0)</f>
        <v>35405.689999999973</v>
      </c>
      <c r="C221" s="7">
        <f>(C220)+(0)</f>
        <v>1000</v>
      </c>
      <c r="D221" s="7">
        <f t="shared" si="8"/>
        <v>34405.689999999973</v>
      </c>
      <c r="E221" s="7">
        <f t="shared" si="9"/>
        <v>-34405.689999999973</v>
      </c>
      <c r="F221" s="10">
        <f t="shared" si="10"/>
        <v>35.405689999999971</v>
      </c>
      <c r="G221" s="10">
        <f t="shared" si="11"/>
        <v>-34.405689999999971</v>
      </c>
    </row>
  </sheetData>
  <mergeCells count="4">
    <mergeCell ref="A1:G1"/>
    <mergeCell ref="A2:G2"/>
    <mergeCell ref="A3:G3"/>
    <mergeCell ref="B4:G4"/>
  </mergeCells>
  <pageMargins left="0.7" right="0.7" top="0.75" bottom="0.75" header="0.3" footer="0.3"/>
  <pageSetup scale="7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098F4-34BD-4FBF-B12D-3610AB2CF096}">
  <dimension ref="A1:B90"/>
  <sheetViews>
    <sheetView topLeftCell="A15" workbookViewId="0">
      <selection activeCell="B90" sqref="B90"/>
    </sheetView>
  </sheetViews>
  <sheetFormatPr defaultRowHeight="15" x14ac:dyDescent="0.25"/>
  <cols>
    <col min="1" max="1" width="73.140625" customWidth="1"/>
    <col min="2" max="2" width="11.7109375" bestFit="1" customWidth="1"/>
  </cols>
  <sheetData>
    <row r="1" spans="1:2" ht="18" x14ac:dyDescent="0.25">
      <c r="A1" s="21" t="s">
        <v>123</v>
      </c>
      <c r="B1" s="22"/>
    </row>
    <row r="2" spans="1:2" ht="18" x14ac:dyDescent="0.25">
      <c r="A2" s="17" t="s">
        <v>163</v>
      </c>
      <c r="B2" s="17"/>
    </row>
    <row r="3" spans="1:2" x14ac:dyDescent="0.25">
      <c r="A3" s="19" t="s">
        <v>259</v>
      </c>
      <c r="B3" s="16"/>
    </row>
    <row r="4" spans="1:2" x14ac:dyDescent="0.25">
      <c r="A4" s="1"/>
      <c r="B4" s="2" t="s">
        <v>0</v>
      </c>
    </row>
    <row r="5" spans="1:2" x14ac:dyDescent="0.25">
      <c r="A5" s="3" t="s">
        <v>164</v>
      </c>
      <c r="B5" s="4"/>
    </row>
    <row r="6" spans="1:2" x14ac:dyDescent="0.25">
      <c r="A6" s="3" t="s">
        <v>165</v>
      </c>
      <c r="B6" s="4"/>
    </row>
    <row r="7" spans="1:2" x14ac:dyDescent="0.25">
      <c r="A7" s="3" t="s">
        <v>166</v>
      </c>
      <c r="B7" s="4"/>
    </row>
    <row r="8" spans="1:2" x14ac:dyDescent="0.25">
      <c r="A8" s="3" t="s">
        <v>167</v>
      </c>
      <c r="B8" s="5">
        <v>135734.22</v>
      </c>
    </row>
    <row r="9" spans="1:2" x14ac:dyDescent="0.25">
      <c r="A9" s="3" t="s">
        <v>168</v>
      </c>
      <c r="B9" s="5">
        <v>208691.51</v>
      </c>
    </row>
    <row r="10" spans="1:2" x14ac:dyDescent="0.25">
      <c r="A10" s="3" t="s">
        <v>169</v>
      </c>
      <c r="B10" s="5">
        <f>0</f>
        <v>0</v>
      </c>
    </row>
    <row r="11" spans="1:2" x14ac:dyDescent="0.25">
      <c r="A11" s="3" t="s">
        <v>170</v>
      </c>
      <c r="B11" s="5">
        <v>201961.94</v>
      </c>
    </row>
    <row r="12" spans="1:2" x14ac:dyDescent="0.25">
      <c r="A12" s="3" t="s">
        <v>171</v>
      </c>
      <c r="B12" s="7">
        <f>(B10)+(B11)</f>
        <v>201961.94</v>
      </c>
    </row>
    <row r="13" spans="1:2" x14ac:dyDescent="0.25">
      <c r="A13" s="3" t="s">
        <v>172</v>
      </c>
      <c r="B13" s="5">
        <v>164978.48000000001</v>
      </c>
    </row>
    <row r="14" spans="1:2" x14ac:dyDescent="0.25">
      <c r="A14" s="3" t="s">
        <v>173</v>
      </c>
      <c r="B14" s="5">
        <v>102620.5</v>
      </c>
    </row>
    <row r="15" spans="1:2" x14ac:dyDescent="0.25">
      <c r="A15" s="3" t="s">
        <v>174</v>
      </c>
      <c r="B15" s="5">
        <f>10500</f>
        <v>10500</v>
      </c>
    </row>
    <row r="16" spans="1:2" x14ac:dyDescent="0.25">
      <c r="A16" s="3" t="s">
        <v>175</v>
      </c>
      <c r="B16" s="5">
        <v>5692.6</v>
      </c>
    </row>
    <row r="17" spans="1:2" x14ac:dyDescent="0.25">
      <c r="A17" s="3" t="s">
        <v>176</v>
      </c>
      <c r="B17" s="5">
        <f>5027.03</f>
        <v>5027.03</v>
      </c>
    </row>
    <row r="18" spans="1:2" x14ac:dyDescent="0.25">
      <c r="A18" s="3" t="s">
        <v>177</v>
      </c>
      <c r="B18" s="5">
        <f>208039.05</f>
        <v>208039.05</v>
      </c>
    </row>
    <row r="19" spans="1:2" x14ac:dyDescent="0.25">
      <c r="A19" s="3" t="s">
        <v>178</v>
      </c>
      <c r="B19" s="7">
        <f>((((((((B8)+(B9))+(B12))+(B13))+(B14))+(B15))+(B16))+(B17))+(B18)</f>
        <v>1043245.3299999998</v>
      </c>
    </row>
    <row r="20" spans="1:2" x14ac:dyDescent="0.25">
      <c r="A20" s="3" t="s">
        <v>179</v>
      </c>
      <c r="B20" s="7">
        <f>B19</f>
        <v>1043245.3299999998</v>
      </c>
    </row>
    <row r="21" spans="1:2" x14ac:dyDescent="0.25">
      <c r="A21" s="3" t="s">
        <v>180</v>
      </c>
      <c r="B21" s="4"/>
    </row>
    <row r="22" spans="1:2" x14ac:dyDescent="0.25">
      <c r="A22" s="3" t="s">
        <v>181</v>
      </c>
      <c r="B22" s="5"/>
    </row>
    <row r="23" spans="1:2" x14ac:dyDescent="0.25">
      <c r="A23" s="3" t="s">
        <v>182</v>
      </c>
      <c r="B23" s="5">
        <f>4867.17</f>
        <v>4867.17</v>
      </c>
    </row>
    <row r="24" spans="1:2" x14ac:dyDescent="0.25">
      <c r="A24" s="3" t="s">
        <v>183</v>
      </c>
      <c r="B24" s="5">
        <f>75000</f>
        <v>75000</v>
      </c>
    </row>
    <row r="25" spans="1:2" x14ac:dyDescent="0.25">
      <c r="A25" s="3" t="s">
        <v>184</v>
      </c>
      <c r="B25" s="5">
        <f>170714.64</f>
        <v>170714.64</v>
      </c>
    </row>
    <row r="26" spans="1:2" x14ac:dyDescent="0.25">
      <c r="A26" s="3" t="s">
        <v>185</v>
      </c>
      <c r="B26" s="7">
        <f>(((B22)+(B23))+(B24))+(B25)</f>
        <v>250581.81</v>
      </c>
    </row>
    <row r="27" spans="1:2" x14ac:dyDescent="0.25">
      <c r="A27" s="3" t="s">
        <v>186</v>
      </c>
      <c r="B27" s="7">
        <f>B26</f>
        <v>250581.81</v>
      </c>
    </row>
    <row r="28" spans="1:2" x14ac:dyDescent="0.25">
      <c r="A28" s="3" t="s">
        <v>187</v>
      </c>
      <c r="B28" s="7">
        <f>(B20)+(B27)</f>
        <v>1293827.1399999999</v>
      </c>
    </row>
    <row r="29" spans="1:2" x14ac:dyDescent="0.25">
      <c r="A29" s="3" t="s">
        <v>188</v>
      </c>
      <c r="B29" s="4"/>
    </row>
    <row r="30" spans="1:2" x14ac:dyDescent="0.25">
      <c r="A30" s="3" t="s">
        <v>189</v>
      </c>
      <c r="B30" s="4"/>
    </row>
    <row r="31" spans="1:2" x14ac:dyDescent="0.25">
      <c r="A31" s="3" t="s">
        <v>190</v>
      </c>
      <c r="B31" s="4"/>
    </row>
    <row r="32" spans="1:2" x14ac:dyDescent="0.25">
      <c r="A32" s="3" t="s">
        <v>191</v>
      </c>
      <c r="B32" s="4"/>
    </row>
    <row r="33" spans="1:2" x14ac:dyDescent="0.25">
      <c r="A33" s="3" t="s">
        <v>192</v>
      </c>
      <c r="B33" s="5"/>
    </row>
    <row r="34" spans="1:2" x14ac:dyDescent="0.25">
      <c r="A34" s="3" t="s">
        <v>193</v>
      </c>
      <c r="B34" s="5"/>
    </row>
    <row r="35" spans="1:2" x14ac:dyDescent="0.25">
      <c r="A35" s="3" t="s">
        <v>194</v>
      </c>
      <c r="B35" s="5">
        <v>3058.18</v>
      </c>
    </row>
    <row r="36" spans="1:2" x14ac:dyDescent="0.25">
      <c r="A36" s="3" t="s">
        <v>195</v>
      </c>
      <c r="B36" s="5">
        <v>20109.919999999998</v>
      </c>
    </row>
    <row r="37" spans="1:2" x14ac:dyDescent="0.25">
      <c r="A37" s="3" t="s">
        <v>196</v>
      </c>
      <c r="B37" s="5">
        <v>11253.17</v>
      </c>
    </row>
    <row r="38" spans="1:2" x14ac:dyDescent="0.25">
      <c r="A38" s="3" t="s">
        <v>197</v>
      </c>
      <c r="B38" s="7">
        <f>(((B34)+(B35))+(B36))+(B37)</f>
        <v>34421.269999999997</v>
      </c>
    </row>
    <row r="39" spans="1:2" x14ac:dyDescent="0.25">
      <c r="A39" s="3" t="s">
        <v>198</v>
      </c>
      <c r="B39" s="5">
        <f>0</f>
        <v>0</v>
      </c>
    </row>
    <row r="40" spans="1:2" x14ac:dyDescent="0.25">
      <c r="A40" s="3" t="s">
        <v>199</v>
      </c>
      <c r="B40" s="5">
        <f>55</f>
        <v>55</v>
      </c>
    </row>
    <row r="41" spans="1:2" x14ac:dyDescent="0.25">
      <c r="A41" s="3" t="s">
        <v>200</v>
      </c>
      <c r="B41" s="7">
        <f>(B39)+(B40)</f>
        <v>55</v>
      </c>
    </row>
    <row r="42" spans="1:2" x14ac:dyDescent="0.25">
      <c r="A42" s="3" t="s">
        <v>201</v>
      </c>
      <c r="B42" s="5"/>
    </row>
    <row r="43" spans="1:2" x14ac:dyDescent="0.25">
      <c r="A43" s="3" t="s">
        <v>202</v>
      </c>
      <c r="B43" s="5">
        <f>5027.03</f>
        <v>5027.03</v>
      </c>
    </row>
    <row r="44" spans="1:2" x14ac:dyDescent="0.25">
      <c r="A44" s="3" t="s">
        <v>203</v>
      </c>
      <c r="B44" s="5">
        <f>1917.08</f>
        <v>1917.08</v>
      </c>
    </row>
    <row r="45" spans="1:2" x14ac:dyDescent="0.25">
      <c r="A45" s="3" t="s">
        <v>204</v>
      </c>
      <c r="B45" s="5">
        <v>11484.07</v>
      </c>
    </row>
    <row r="46" spans="1:2" x14ac:dyDescent="0.25">
      <c r="A46" s="3" t="s">
        <v>205</v>
      </c>
      <c r="B46" s="5">
        <v>-938.8</v>
      </c>
    </row>
    <row r="47" spans="1:2" x14ac:dyDescent="0.25">
      <c r="A47" s="3" t="s">
        <v>206</v>
      </c>
      <c r="B47" s="5">
        <v>91036.23</v>
      </c>
    </row>
    <row r="48" spans="1:2" x14ac:dyDescent="0.25">
      <c r="A48" s="3" t="s">
        <v>207</v>
      </c>
      <c r="B48" s="5">
        <v>4061.17</v>
      </c>
    </row>
    <row r="49" spans="1:2" x14ac:dyDescent="0.25">
      <c r="A49" s="3" t="s">
        <v>208</v>
      </c>
      <c r="B49" s="5">
        <f>2149.85</f>
        <v>2149.85</v>
      </c>
    </row>
    <row r="50" spans="1:2" x14ac:dyDescent="0.25">
      <c r="A50" s="3" t="s">
        <v>209</v>
      </c>
      <c r="B50" s="5">
        <v>37073.31</v>
      </c>
    </row>
    <row r="51" spans="1:2" x14ac:dyDescent="0.25">
      <c r="A51" s="3" t="s">
        <v>210</v>
      </c>
      <c r="B51" s="5">
        <v>46.18</v>
      </c>
    </row>
    <row r="52" spans="1:2" x14ac:dyDescent="0.25">
      <c r="A52" s="3" t="s">
        <v>211</v>
      </c>
      <c r="B52" s="5">
        <f>-2895.26</f>
        <v>-2895.26</v>
      </c>
    </row>
    <row r="53" spans="1:2" x14ac:dyDescent="0.25">
      <c r="A53" s="3" t="s">
        <v>212</v>
      </c>
      <c r="B53" s="5">
        <f>1400.06</f>
        <v>1400.06</v>
      </c>
    </row>
    <row r="54" spans="1:2" x14ac:dyDescent="0.25">
      <c r="A54" s="3" t="s">
        <v>213</v>
      </c>
      <c r="B54" s="5">
        <v>53290.66</v>
      </c>
    </row>
    <row r="55" spans="1:2" x14ac:dyDescent="0.25">
      <c r="A55" s="3" t="s">
        <v>214</v>
      </c>
      <c r="B55" s="5">
        <v>8179.3</v>
      </c>
    </row>
    <row r="56" spans="1:2" x14ac:dyDescent="0.25">
      <c r="A56" s="3" t="s">
        <v>215</v>
      </c>
      <c r="B56" s="5">
        <f>1976.6</f>
        <v>1976.6</v>
      </c>
    </row>
    <row r="57" spans="1:2" x14ac:dyDescent="0.25">
      <c r="A57" s="3" t="s">
        <v>216</v>
      </c>
      <c r="B57" s="5">
        <v>4485.2</v>
      </c>
    </row>
    <row r="58" spans="1:2" x14ac:dyDescent="0.25">
      <c r="A58" s="3" t="s">
        <v>217</v>
      </c>
      <c r="B58" s="7">
        <f>(((((((((((((((B42)+(B43))+(B44))+(B45))+(B46))+(B47))+(B48))+(B49))+(B50))+(B51))+(B52))+(B53))+(B54))+(B55))+(B56))+(B57)</f>
        <v>218292.68</v>
      </c>
    </row>
    <row r="59" spans="1:2" x14ac:dyDescent="0.25">
      <c r="A59" s="3" t="s">
        <v>218</v>
      </c>
      <c r="B59" s="7">
        <f>(((B33)+(B38))+(B41))+(B58)</f>
        <v>252768.94999999998</v>
      </c>
    </row>
    <row r="60" spans="1:2" x14ac:dyDescent="0.25">
      <c r="A60" s="3" t="s">
        <v>219</v>
      </c>
      <c r="B60" s="5">
        <f>0</f>
        <v>0</v>
      </c>
    </row>
    <row r="61" spans="1:2" x14ac:dyDescent="0.25">
      <c r="A61" s="3" t="s">
        <v>220</v>
      </c>
      <c r="B61" s="5">
        <v>131.51</v>
      </c>
    </row>
    <row r="62" spans="1:2" x14ac:dyDescent="0.25">
      <c r="A62" s="3" t="s">
        <v>221</v>
      </c>
      <c r="B62" s="5">
        <v>-50.48</v>
      </c>
    </row>
    <row r="63" spans="1:2" x14ac:dyDescent="0.25">
      <c r="A63" s="3" t="s">
        <v>222</v>
      </c>
      <c r="B63" s="5">
        <v>1609.24</v>
      </c>
    </row>
    <row r="64" spans="1:2" x14ac:dyDescent="0.25">
      <c r="A64" s="3" t="s">
        <v>223</v>
      </c>
      <c r="B64" s="5">
        <v>571.58000000000004</v>
      </c>
    </row>
    <row r="65" spans="1:2" hidden="1" x14ac:dyDescent="0.25">
      <c r="A65" s="3" t="s">
        <v>224</v>
      </c>
      <c r="B65" s="5">
        <v>0</v>
      </c>
    </row>
    <row r="66" spans="1:2" hidden="1" x14ac:dyDescent="0.25">
      <c r="A66" s="3" t="s">
        <v>225</v>
      </c>
      <c r="B66" s="5">
        <v>0</v>
      </c>
    </row>
    <row r="67" spans="1:2" hidden="1" x14ac:dyDescent="0.25">
      <c r="A67" s="3" t="s">
        <v>226</v>
      </c>
      <c r="B67" s="5">
        <v>0</v>
      </c>
    </row>
    <row r="68" spans="1:2" x14ac:dyDescent="0.25">
      <c r="A68" s="3" t="s">
        <v>227</v>
      </c>
      <c r="B68" s="5">
        <v>1237.71</v>
      </c>
    </row>
    <row r="69" spans="1:2" hidden="1" x14ac:dyDescent="0.25">
      <c r="A69" s="3" t="s">
        <v>228</v>
      </c>
      <c r="B69" s="5">
        <v>0</v>
      </c>
    </row>
    <row r="70" spans="1:2" x14ac:dyDescent="0.25">
      <c r="A70" s="3" t="s">
        <v>229</v>
      </c>
      <c r="B70" s="5">
        <f>202.66</f>
        <v>202.66</v>
      </c>
    </row>
    <row r="71" spans="1:2" x14ac:dyDescent="0.25">
      <c r="A71" s="3" t="s">
        <v>230</v>
      </c>
      <c r="B71" s="7">
        <f>((((((((((B60)+(B61))+(B62))+(B63))+(B64))+(B65))+(B66))+(B67))+(B68))+(B69))+(B70)</f>
        <v>3702.22</v>
      </c>
    </row>
    <row r="72" spans="1:2" x14ac:dyDescent="0.25">
      <c r="A72" s="3" t="s">
        <v>231</v>
      </c>
      <c r="B72" s="7">
        <f>(B59)+(B71)</f>
        <v>256471.16999999998</v>
      </c>
    </row>
    <row r="73" spans="1:2" x14ac:dyDescent="0.25">
      <c r="A73" s="3" t="s">
        <v>232</v>
      </c>
      <c r="B73" s="7">
        <f>B72</f>
        <v>256471.16999999998</v>
      </c>
    </row>
    <row r="74" spans="1:2" x14ac:dyDescent="0.25">
      <c r="A74" s="3" t="s">
        <v>233</v>
      </c>
      <c r="B74" s="7">
        <f>B73</f>
        <v>256471.16999999998</v>
      </c>
    </row>
    <row r="75" spans="1:2" x14ac:dyDescent="0.25">
      <c r="A75" s="3" t="s">
        <v>234</v>
      </c>
      <c r="B75" s="4"/>
    </row>
    <row r="76" spans="1:2" x14ac:dyDescent="0.25">
      <c r="A76" s="3" t="s">
        <v>235</v>
      </c>
      <c r="B76" s="5"/>
    </row>
    <row r="77" spans="1:2" x14ac:dyDescent="0.25">
      <c r="A77" s="3" t="s">
        <v>236</v>
      </c>
      <c r="B77" s="5">
        <f>22437.43</f>
        <v>22437.43</v>
      </c>
    </row>
    <row r="78" spans="1:2" x14ac:dyDescent="0.25">
      <c r="A78" s="3" t="s">
        <v>237</v>
      </c>
      <c r="B78" s="5">
        <f>65714.64</f>
        <v>65714.64</v>
      </c>
    </row>
    <row r="79" spans="1:2" x14ac:dyDescent="0.25">
      <c r="A79" s="3" t="s">
        <v>238</v>
      </c>
      <c r="B79" s="5">
        <f>0</f>
        <v>0</v>
      </c>
    </row>
    <row r="80" spans="1:2" x14ac:dyDescent="0.25">
      <c r="A80" s="3" t="s">
        <v>239</v>
      </c>
      <c r="B80" s="5">
        <f>51396.28</f>
        <v>51396.28</v>
      </c>
    </row>
    <row r="81" spans="1:2" x14ac:dyDescent="0.25">
      <c r="A81" s="3" t="s">
        <v>240</v>
      </c>
      <c r="B81" s="5">
        <f>260558.03</f>
        <v>260558.03</v>
      </c>
    </row>
    <row r="82" spans="1:2" x14ac:dyDescent="0.25">
      <c r="A82" s="3" t="s">
        <v>241</v>
      </c>
      <c r="B82" s="5">
        <f>170550</f>
        <v>170550</v>
      </c>
    </row>
    <row r="83" spans="1:2" x14ac:dyDescent="0.25">
      <c r="A83" s="3" t="s">
        <v>242</v>
      </c>
      <c r="B83" s="7">
        <f>(((B79)+(B80))+(B81))+(B82)</f>
        <v>482504.31</v>
      </c>
    </row>
    <row r="84" spans="1:2" x14ac:dyDescent="0.25">
      <c r="A84" s="3" t="s">
        <v>243</v>
      </c>
      <c r="B84" s="5">
        <f>48708.46</f>
        <v>48708.46</v>
      </c>
    </row>
    <row r="85" spans="1:2" x14ac:dyDescent="0.25">
      <c r="A85" s="3" t="s">
        <v>244</v>
      </c>
      <c r="B85" s="7">
        <f>((((B76)+(B77))+(B78))+(B83))+(B84)</f>
        <v>619364.84</v>
      </c>
    </row>
    <row r="86" spans="1:2" x14ac:dyDescent="0.25">
      <c r="A86" s="3" t="s">
        <v>245</v>
      </c>
      <c r="B86" s="5">
        <f>330547.49</f>
        <v>330547.49</v>
      </c>
    </row>
    <row r="87" spans="1:2" x14ac:dyDescent="0.25">
      <c r="A87" s="3" t="s">
        <v>246</v>
      </c>
      <c r="B87" s="5">
        <f>52037.95</f>
        <v>52037.95</v>
      </c>
    </row>
    <row r="88" spans="1:2" x14ac:dyDescent="0.25">
      <c r="A88" s="3" t="s">
        <v>247</v>
      </c>
      <c r="B88" s="5">
        <v>35405.69</v>
      </c>
    </row>
    <row r="89" spans="1:2" x14ac:dyDescent="0.25">
      <c r="A89" s="3" t="s">
        <v>248</v>
      </c>
      <c r="B89" s="7">
        <f>(((B85)+(B86))+(B87))+(B88)</f>
        <v>1037355.97</v>
      </c>
    </row>
    <row r="90" spans="1:2" x14ac:dyDescent="0.25">
      <c r="A90" s="3" t="s">
        <v>249</v>
      </c>
      <c r="B90" s="7">
        <f>(B74)+(B89)</f>
        <v>1293827.1399999999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Report</vt:lpstr>
      <vt:lpstr>Year to Date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Glenda Rice</cp:lastModifiedBy>
  <cp:lastPrinted>2023-05-07T22:56:40Z</cp:lastPrinted>
  <dcterms:created xsi:type="dcterms:W3CDTF">2023-03-19T18:39:04Z</dcterms:created>
  <dcterms:modified xsi:type="dcterms:W3CDTF">2023-05-07T22:56:45Z</dcterms:modified>
</cp:coreProperties>
</file>