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04297350a2c8f49/Desktop/Financial Reports/Financial Reports 2024/"/>
    </mc:Choice>
  </mc:AlternateContent>
  <xr:revisionPtr revIDLastSave="293" documentId="8_{C1D7AB39-2651-4CC5-96A1-5743BB368C42}" xr6:coauthVersionLast="47" xr6:coauthVersionMax="47" xr10:uidLastSave="{96A94470-1CDD-4A2D-8BC6-CADA1D9FB8BD}"/>
  <bookViews>
    <workbookView xWindow="-120" yWindow="-120" windowWidth="20730" windowHeight="11040" activeTab="2" xr2:uid="{00000000-000D-0000-FFFF-FFFF00000000}"/>
  </bookViews>
  <sheets>
    <sheet name="Monthly Report" sheetId="2" r:id="rId1"/>
    <sheet name="Year to Date Report" sheetId="1" r:id="rId2"/>
    <sheet name="Balance Shee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3" l="1"/>
  <c r="B74" i="1"/>
  <c r="B169" i="2"/>
  <c r="B168" i="2"/>
  <c r="J192" i="1"/>
  <c r="D111" i="1"/>
  <c r="E111" i="1"/>
  <c r="G111" i="1"/>
  <c r="F111" i="1"/>
  <c r="D109" i="1"/>
  <c r="E109" i="1"/>
  <c r="G109" i="1"/>
  <c r="F109" i="1"/>
  <c r="D70" i="1"/>
  <c r="E70" i="1"/>
  <c r="G70" i="1"/>
  <c r="F70" i="1"/>
  <c r="D32" i="1"/>
  <c r="E32" i="1"/>
  <c r="G32" i="1"/>
  <c r="F32" i="1"/>
  <c r="B106" i="2"/>
  <c r="B122" i="2"/>
  <c r="E27" i="1"/>
  <c r="E14" i="1"/>
  <c r="E12" i="1"/>
  <c r="E11" i="1"/>
  <c r="E8" i="1"/>
  <c r="D27" i="1"/>
  <c r="D14" i="1"/>
  <c r="D12" i="1"/>
  <c r="D11" i="1"/>
  <c r="D8" i="1"/>
  <c r="B163" i="1"/>
  <c r="D158" i="1"/>
  <c r="E158" i="1"/>
  <c r="G158" i="1"/>
  <c r="F158" i="1"/>
  <c r="D65" i="1"/>
  <c r="E65" i="1"/>
  <c r="G65" i="1"/>
  <c r="F65" i="1"/>
  <c r="B158" i="2"/>
  <c r="B130" i="2"/>
  <c r="B186" i="1"/>
  <c r="B184" i="1"/>
  <c r="B134" i="1"/>
  <c r="B97" i="1"/>
  <c r="D95" i="1"/>
  <c r="E95" i="1"/>
  <c r="G95" i="1"/>
  <c r="F95" i="1"/>
  <c r="D73" i="1"/>
  <c r="E73" i="1"/>
  <c r="G73" i="1"/>
  <c r="F73" i="1"/>
  <c r="B189" i="2"/>
  <c r="D133" i="1"/>
  <c r="E133" i="1"/>
  <c r="G133" i="1"/>
  <c r="F133" i="1"/>
  <c r="D38" i="1"/>
  <c r="E38" i="1"/>
  <c r="G38" i="1"/>
  <c r="F38" i="1"/>
  <c r="D63" i="1"/>
  <c r="E63" i="1"/>
  <c r="G63" i="1"/>
  <c r="F63" i="1"/>
  <c r="D54" i="1"/>
  <c r="E54" i="1"/>
  <c r="G54" i="1"/>
  <c r="F54" i="1"/>
  <c r="D21" i="1"/>
  <c r="E21" i="1"/>
  <c r="G21" i="1"/>
  <c r="F21" i="1"/>
  <c r="B133" i="2"/>
  <c r="B43" i="2"/>
  <c r="B190" i="1"/>
  <c r="B65" i="3"/>
  <c r="B66" i="3"/>
  <c r="B85" i="3"/>
  <c r="B84" i="3"/>
  <c r="B82" i="3"/>
  <c r="B80" i="3"/>
  <c r="B78" i="3"/>
  <c r="B81" i="3" s="1"/>
  <c r="B77" i="3"/>
  <c r="B76" i="3"/>
  <c r="B75" i="3"/>
  <c r="B69" i="3"/>
  <c r="B63" i="3"/>
  <c r="B60" i="3"/>
  <c r="B54" i="3"/>
  <c r="B53" i="3"/>
  <c r="B49" i="3"/>
  <c r="B44" i="3"/>
  <c r="B42" i="3"/>
  <c r="B41" i="3"/>
  <c r="B40" i="3"/>
  <c r="B35" i="3"/>
  <c r="B34" i="3"/>
  <c r="B26" i="3"/>
  <c r="B25" i="3"/>
  <c r="B24" i="3"/>
  <c r="B23" i="3"/>
  <c r="B16" i="3"/>
  <c r="B11" i="3"/>
  <c r="B67" i="3" l="1"/>
  <c r="B83" i="3"/>
  <c r="B87" i="3" s="1"/>
  <c r="B27" i="3"/>
  <c r="B28" i="3" s="1"/>
  <c r="B64" i="3"/>
  <c r="B70" i="3" s="1"/>
  <c r="B13" i="3"/>
  <c r="B20" i="3" s="1"/>
  <c r="B21" i="3" s="1"/>
  <c r="B29" i="3" s="1"/>
  <c r="B39" i="3"/>
  <c r="B43" i="3"/>
  <c r="B186" i="2"/>
  <c r="B185" i="2"/>
  <c r="B184" i="2"/>
  <c r="B174" i="2"/>
  <c r="B181" i="2" s="1"/>
  <c r="B171" i="2"/>
  <c r="B170" i="2"/>
  <c r="B149" i="2"/>
  <c r="B148" i="2"/>
  <c r="B147" i="2"/>
  <c r="B146" i="2"/>
  <c r="B141" i="2"/>
  <c r="B125" i="2"/>
  <c r="B139" i="2" s="1"/>
  <c r="B124" i="2"/>
  <c r="B123" i="2"/>
  <c r="B113" i="2"/>
  <c r="B115" i="2" s="1"/>
  <c r="B101" i="2"/>
  <c r="B100" i="2"/>
  <c r="B99" i="2"/>
  <c r="B98" i="2"/>
  <c r="B91" i="2"/>
  <c r="B96" i="2" s="1"/>
  <c r="B88" i="2"/>
  <c r="B90" i="2" s="1"/>
  <c r="B85" i="2"/>
  <c r="B84" i="2"/>
  <c r="B83" i="2"/>
  <c r="B62" i="2"/>
  <c r="B53" i="2"/>
  <c r="B51" i="2"/>
  <c r="B35" i="2"/>
  <c r="B34" i="2"/>
  <c r="B31" i="2"/>
  <c r="B18" i="2"/>
  <c r="B7" i="2"/>
  <c r="B59" i="3" l="1"/>
  <c r="B71" i="3" s="1"/>
  <c r="B72" i="3" s="1"/>
  <c r="B73" i="3" s="1"/>
  <c r="B88" i="3" s="1"/>
  <c r="B74" i="2"/>
  <c r="B116" i="2"/>
  <c r="B80" i="2"/>
  <c r="B81" i="2" s="1"/>
  <c r="B87" i="2"/>
  <c r="B97" i="2" s="1"/>
  <c r="B140" i="2"/>
  <c r="B117" i="2"/>
  <c r="B136" i="2"/>
  <c r="B163" i="2"/>
  <c r="B192" i="2"/>
  <c r="B120" i="2"/>
  <c r="B143" i="2"/>
  <c r="B155" i="2"/>
  <c r="B173" i="2"/>
  <c r="B164" i="2" l="1"/>
  <c r="B165" i="2" s="1"/>
  <c r="B145" i="2"/>
  <c r="B121" i="2"/>
  <c r="B183" i="2"/>
  <c r="B193" i="2" l="1"/>
  <c r="B194" i="2" s="1"/>
  <c r="B195" i="2" s="1"/>
  <c r="C190" i="1"/>
  <c r="G190" i="1" s="1"/>
  <c r="G189" i="1"/>
  <c r="F189" i="1"/>
  <c r="E189" i="1"/>
  <c r="G188" i="1"/>
  <c r="F188" i="1"/>
  <c r="G187" i="1"/>
  <c r="F187" i="1"/>
  <c r="E187" i="1"/>
  <c r="D187" i="1"/>
  <c r="C185" i="1"/>
  <c r="D185" i="1" s="1"/>
  <c r="C182" i="1"/>
  <c r="F182" i="1" s="1"/>
  <c r="C180" i="1"/>
  <c r="D180" i="1" s="1"/>
  <c r="C178" i="1"/>
  <c r="C177" i="1"/>
  <c r="D177" i="1" s="1"/>
  <c r="C176" i="1"/>
  <c r="C175" i="1"/>
  <c r="C174" i="1"/>
  <c r="C173" i="1"/>
  <c r="F173" i="1" s="1"/>
  <c r="G172" i="1"/>
  <c r="F172" i="1"/>
  <c r="E172" i="1"/>
  <c r="D172" i="1"/>
  <c r="C170" i="1"/>
  <c r="B171" i="1"/>
  <c r="G169" i="1"/>
  <c r="F169" i="1"/>
  <c r="E169" i="1"/>
  <c r="D169" i="1"/>
  <c r="G168" i="1"/>
  <c r="F168" i="1"/>
  <c r="E168" i="1"/>
  <c r="D168" i="1"/>
  <c r="C166" i="1"/>
  <c r="C163" i="1"/>
  <c r="G162" i="1"/>
  <c r="F162" i="1"/>
  <c r="E162" i="1"/>
  <c r="G161" i="1"/>
  <c r="F161" i="1"/>
  <c r="E161" i="1"/>
  <c r="D161" i="1"/>
  <c r="G160" i="1"/>
  <c r="F160" i="1"/>
  <c r="G159" i="1"/>
  <c r="F159" i="1"/>
  <c r="E159" i="1"/>
  <c r="G157" i="1"/>
  <c r="F157" i="1"/>
  <c r="C156" i="1"/>
  <c r="G156" i="1" s="1"/>
  <c r="G155" i="1"/>
  <c r="F155" i="1"/>
  <c r="G154" i="1"/>
  <c r="F154" i="1"/>
  <c r="E154" i="1"/>
  <c r="G153" i="1"/>
  <c r="F153" i="1"/>
  <c r="E153" i="1"/>
  <c r="G149" i="1"/>
  <c r="F149" i="1"/>
  <c r="E149" i="1"/>
  <c r="D149" i="1"/>
  <c r="C148" i="1"/>
  <c r="G147" i="1"/>
  <c r="F147" i="1"/>
  <c r="E147" i="1"/>
  <c r="D147" i="1"/>
  <c r="G145" i="1"/>
  <c r="F145" i="1"/>
  <c r="E145" i="1"/>
  <c r="G143" i="1"/>
  <c r="F143" i="1"/>
  <c r="B144" i="1"/>
  <c r="C142" i="1"/>
  <c r="E142" i="1" s="1"/>
  <c r="G139" i="1"/>
  <c r="F139" i="1"/>
  <c r="G138" i="1"/>
  <c r="F138" i="1"/>
  <c r="E138" i="1"/>
  <c r="C137" i="1"/>
  <c r="C140" i="1" s="1"/>
  <c r="G136" i="1"/>
  <c r="F136" i="1"/>
  <c r="G135" i="1"/>
  <c r="F135" i="1"/>
  <c r="G132" i="1"/>
  <c r="F132" i="1"/>
  <c r="E132" i="1"/>
  <c r="G130" i="1"/>
  <c r="F130" i="1"/>
  <c r="E130" i="1"/>
  <c r="G129" i="1"/>
  <c r="F129" i="1"/>
  <c r="G127" i="1"/>
  <c r="F127" i="1"/>
  <c r="E127" i="1"/>
  <c r="D127" i="1"/>
  <c r="C125" i="1"/>
  <c r="F125" i="1" s="1"/>
  <c r="G124" i="1"/>
  <c r="F124" i="1"/>
  <c r="E124" i="1"/>
  <c r="D124" i="1"/>
  <c r="G121" i="1"/>
  <c r="F121" i="1"/>
  <c r="E121" i="1"/>
  <c r="C120" i="1"/>
  <c r="C122" i="1" s="1"/>
  <c r="C118" i="1"/>
  <c r="C116" i="1"/>
  <c r="G116" i="1" s="1"/>
  <c r="G115" i="1"/>
  <c r="F115" i="1"/>
  <c r="B116" i="1"/>
  <c r="G114" i="1"/>
  <c r="F114" i="1"/>
  <c r="E114" i="1"/>
  <c r="D114" i="1"/>
  <c r="G113" i="1"/>
  <c r="F113" i="1"/>
  <c r="E113" i="1"/>
  <c r="G112" i="1"/>
  <c r="F112" i="1"/>
  <c r="E112" i="1"/>
  <c r="G110" i="1"/>
  <c r="F110" i="1"/>
  <c r="G108" i="1"/>
  <c r="F108" i="1"/>
  <c r="E108" i="1"/>
  <c r="C107" i="1"/>
  <c r="G106" i="1"/>
  <c r="F106" i="1"/>
  <c r="G105" i="1"/>
  <c r="F105" i="1"/>
  <c r="G104" i="1"/>
  <c r="F104" i="1"/>
  <c r="E104" i="1"/>
  <c r="G103" i="1"/>
  <c r="F103" i="1"/>
  <c r="D103" i="1"/>
  <c r="G102" i="1"/>
  <c r="F102" i="1"/>
  <c r="E102" i="1"/>
  <c r="D102" i="1"/>
  <c r="C100" i="1"/>
  <c r="F100" i="1" s="1"/>
  <c r="G99" i="1"/>
  <c r="F99" i="1"/>
  <c r="E99" i="1"/>
  <c r="D99" i="1"/>
  <c r="G94" i="1"/>
  <c r="F94" i="1"/>
  <c r="E94" i="1"/>
  <c r="D94" i="1"/>
  <c r="G93" i="1"/>
  <c r="F93" i="1"/>
  <c r="C92" i="1"/>
  <c r="C90" i="1"/>
  <c r="B91" i="1"/>
  <c r="G89" i="1"/>
  <c r="F89" i="1"/>
  <c r="E89" i="1"/>
  <c r="D89" i="1"/>
  <c r="B88" i="1"/>
  <c r="C87" i="1"/>
  <c r="C86" i="1"/>
  <c r="D86" i="1" s="1"/>
  <c r="G85" i="1"/>
  <c r="F85" i="1"/>
  <c r="E85" i="1"/>
  <c r="D85" i="1"/>
  <c r="G84" i="1"/>
  <c r="F84" i="1"/>
  <c r="E84" i="1"/>
  <c r="D84" i="1"/>
  <c r="C80" i="1"/>
  <c r="E80" i="1" s="1"/>
  <c r="G80" i="1" s="1"/>
  <c r="C79" i="1"/>
  <c r="D79" i="1" s="1"/>
  <c r="C78" i="1"/>
  <c r="D78" i="1" s="1"/>
  <c r="G77" i="1"/>
  <c r="F77" i="1"/>
  <c r="D77" i="1"/>
  <c r="C76" i="1"/>
  <c r="E76" i="1" s="1"/>
  <c r="G75" i="1"/>
  <c r="F75" i="1"/>
  <c r="G72" i="1"/>
  <c r="F72" i="1"/>
  <c r="D72" i="1"/>
  <c r="G71" i="1"/>
  <c r="F71" i="1"/>
  <c r="G69" i="1"/>
  <c r="F69" i="1"/>
  <c r="E69" i="1"/>
  <c r="G68" i="1"/>
  <c r="F68" i="1"/>
  <c r="E68" i="1"/>
  <c r="G67" i="1"/>
  <c r="F67" i="1"/>
  <c r="E67" i="1"/>
  <c r="G66" i="1"/>
  <c r="F66" i="1"/>
  <c r="E66" i="1"/>
  <c r="G64" i="1"/>
  <c r="F64" i="1"/>
  <c r="E64" i="1"/>
  <c r="G62" i="1"/>
  <c r="F62" i="1"/>
  <c r="D62" i="1"/>
  <c r="G61" i="1"/>
  <c r="F61" i="1"/>
  <c r="E61" i="1"/>
  <c r="G60" i="1"/>
  <c r="F60" i="1"/>
  <c r="D60" i="1"/>
  <c r="G59" i="1"/>
  <c r="F59" i="1"/>
  <c r="E59" i="1"/>
  <c r="G58" i="1"/>
  <c r="F58" i="1"/>
  <c r="E58" i="1"/>
  <c r="G57" i="1"/>
  <c r="F57" i="1"/>
  <c r="G56" i="1"/>
  <c r="F56" i="1"/>
  <c r="E56" i="1"/>
  <c r="G55" i="1"/>
  <c r="F55" i="1"/>
  <c r="E55" i="1"/>
  <c r="G53" i="1"/>
  <c r="F53" i="1"/>
  <c r="D53" i="1"/>
  <c r="G52" i="1"/>
  <c r="F52" i="1"/>
  <c r="E52" i="1"/>
  <c r="G51" i="1"/>
  <c r="F51" i="1"/>
  <c r="D51" i="1"/>
  <c r="G50" i="1"/>
  <c r="F50" i="1"/>
  <c r="G49" i="1"/>
  <c r="F49" i="1"/>
  <c r="E49" i="1"/>
  <c r="G47" i="1"/>
  <c r="F47" i="1"/>
  <c r="E47" i="1"/>
  <c r="G46" i="1"/>
  <c r="F46" i="1"/>
  <c r="B46" i="1"/>
  <c r="D46" i="1" s="1"/>
  <c r="G45" i="1"/>
  <c r="F45" i="1"/>
  <c r="E45" i="1"/>
  <c r="G44" i="1"/>
  <c r="F44" i="1"/>
  <c r="B44" i="1"/>
  <c r="D44" i="1" s="1"/>
  <c r="C43" i="1"/>
  <c r="G43" i="1" s="1"/>
  <c r="G42" i="1"/>
  <c r="F42" i="1"/>
  <c r="E42" i="1"/>
  <c r="G41" i="1"/>
  <c r="F41" i="1"/>
  <c r="D41" i="1"/>
  <c r="G40" i="1"/>
  <c r="F40" i="1"/>
  <c r="D40" i="1"/>
  <c r="G39" i="1"/>
  <c r="F39" i="1"/>
  <c r="D39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B33" i="1"/>
  <c r="E33" i="1" s="1"/>
  <c r="G31" i="1"/>
  <c r="F31" i="1"/>
  <c r="D31" i="1"/>
  <c r="G30" i="1"/>
  <c r="F30" i="1"/>
  <c r="D30" i="1"/>
  <c r="G29" i="1"/>
  <c r="F29" i="1"/>
  <c r="D29" i="1"/>
  <c r="G28" i="1"/>
  <c r="F28" i="1"/>
  <c r="D28" i="1"/>
  <c r="G26" i="1"/>
  <c r="F26" i="1"/>
  <c r="E26" i="1"/>
  <c r="G25" i="1"/>
  <c r="F25" i="1"/>
  <c r="E25" i="1"/>
  <c r="G24" i="1"/>
  <c r="F24" i="1"/>
  <c r="B24" i="1"/>
  <c r="E24" i="1" s="1"/>
  <c r="G23" i="1"/>
  <c r="F23" i="1"/>
  <c r="E23" i="1"/>
  <c r="G22" i="1"/>
  <c r="F22" i="1"/>
  <c r="D22" i="1"/>
  <c r="G20" i="1"/>
  <c r="F20" i="1"/>
  <c r="E20" i="1"/>
  <c r="G19" i="1"/>
  <c r="F19" i="1"/>
  <c r="G18" i="1"/>
  <c r="F18" i="1"/>
  <c r="D18" i="1"/>
  <c r="G17" i="1"/>
  <c r="F17" i="1"/>
  <c r="D17" i="1"/>
  <c r="G16" i="1"/>
  <c r="F16" i="1"/>
  <c r="E16" i="1"/>
  <c r="G15" i="1"/>
  <c r="F15" i="1"/>
  <c r="E15" i="1"/>
  <c r="G13" i="1"/>
  <c r="F13" i="1"/>
  <c r="G10" i="1"/>
  <c r="F10" i="1"/>
  <c r="D10" i="1"/>
  <c r="G9" i="1"/>
  <c r="F9" i="1"/>
  <c r="C7" i="1"/>
  <c r="D19" i="1" l="1"/>
  <c r="E13" i="1"/>
  <c r="E9" i="1"/>
  <c r="C144" i="1"/>
  <c r="E144" i="1" s="1"/>
  <c r="G144" i="1" s="1"/>
  <c r="E79" i="1"/>
  <c r="G79" i="1" s="1"/>
  <c r="D16" i="1"/>
  <c r="F79" i="1"/>
  <c r="E103" i="1"/>
  <c r="D159" i="1"/>
  <c r="B179" i="1"/>
  <c r="E28" i="1"/>
  <c r="F43" i="1"/>
  <c r="F76" i="1"/>
  <c r="F170" i="1"/>
  <c r="E180" i="1"/>
  <c r="G180" i="1" s="1"/>
  <c r="F156" i="1"/>
  <c r="D69" i="1"/>
  <c r="E182" i="1"/>
  <c r="G182" i="1" s="1"/>
  <c r="F86" i="1"/>
  <c r="E51" i="1"/>
  <c r="D116" i="1"/>
  <c r="C164" i="1"/>
  <c r="F164" i="1" s="1"/>
  <c r="E18" i="1"/>
  <c r="E30" i="1"/>
  <c r="F166" i="1"/>
  <c r="E166" i="1"/>
  <c r="G166" i="1" s="1"/>
  <c r="D166" i="1"/>
  <c r="D9" i="1"/>
  <c r="D113" i="1"/>
  <c r="E135" i="1"/>
  <c r="D135" i="1"/>
  <c r="E77" i="1"/>
  <c r="E110" i="1"/>
  <c r="D110" i="1"/>
  <c r="D125" i="1"/>
  <c r="D67" i="1"/>
  <c r="D100" i="1"/>
  <c r="E106" i="1"/>
  <c r="D106" i="1"/>
  <c r="E125" i="1"/>
  <c r="G125" i="1" s="1"/>
  <c r="E170" i="1"/>
  <c r="G170" i="1" s="1"/>
  <c r="D173" i="1"/>
  <c r="E50" i="1"/>
  <c r="D50" i="1"/>
  <c r="D64" i="1"/>
  <c r="G118" i="1"/>
  <c r="F118" i="1"/>
  <c r="E157" i="1"/>
  <c r="D157" i="1"/>
  <c r="D189" i="1"/>
  <c r="D24" i="1"/>
  <c r="D26" i="1"/>
  <c r="E41" i="1"/>
  <c r="D61" i="1"/>
  <c r="D118" i="1"/>
  <c r="E39" i="1"/>
  <c r="D59" i="1"/>
  <c r="D92" i="1"/>
  <c r="F92" i="1"/>
  <c r="E92" i="1"/>
  <c r="G92" i="1" s="1"/>
  <c r="E118" i="1"/>
  <c r="E155" i="1"/>
  <c r="D155" i="1"/>
  <c r="F175" i="1"/>
  <c r="E175" i="1"/>
  <c r="G175" i="1" s="1"/>
  <c r="E57" i="1"/>
  <c r="D57" i="1"/>
  <c r="B137" i="1"/>
  <c r="B140" i="1" s="1"/>
  <c r="D175" i="1"/>
  <c r="E177" i="1"/>
  <c r="G177" i="1" s="1"/>
  <c r="D182" i="1"/>
  <c r="E19" i="1"/>
  <c r="D47" i="1"/>
  <c r="D80" i="1"/>
  <c r="D130" i="1"/>
  <c r="D153" i="1"/>
  <c r="D162" i="1"/>
  <c r="D174" i="1"/>
  <c r="F177" i="1"/>
  <c r="D190" i="1"/>
  <c r="D37" i="1"/>
  <c r="D45" i="1"/>
  <c r="F80" i="1"/>
  <c r="E120" i="1"/>
  <c r="G120" i="1" s="1"/>
  <c r="D138" i="1"/>
  <c r="D142" i="1"/>
  <c r="E174" i="1"/>
  <c r="G174" i="1" s="1"/>
  <c r="E176" i="1"/>
  <c r="G176" i="1" s="1"/>
  <c r="D188" i="1"/>
  <c r="D25" i="1"/>
  <c r="D35" i="1"/>
  <c r="D56" i="1"/>
  <c r="D76" i="1"/>
  <c r="B107" i="1"/>
  <c r="C117" i="1"/>
  <c r="C119" i="1" s="1"/>
  <c r="F116" i="1"/>
  <c r="F120" i="1"/>
  <c r="F142" i="1"/>
  <c r="F174" i="1"/>
  <c r="D176" i="1"/>
  <c r="F190" i="1"/>
  <c r="D33" i="1"/>
  <c r="E53" i="1"/>
  <c r="E86" i="1"/>
  <c r="G86" i="1" s="1"/>
  <c r="E105" i="1"/>
  <c r="G142" i="1"/>
  <c r="D145" i="1"/>
  <c r="D163" i="1"/>
  <c r="F176" i="1"/>
  <c r="E185" i="1"/>
  <c r="G185" i="1" s="1"/>
  <c r="G140" i="1"/>
  <c r="F140" i="1"/>
  <c r="C141" i="1"/>
  <c r="F90" i="1"/>
  <c r="E90" i="1"/>
  <c r="G90" i="1" s="1"/>
  <c r="F178" i="1"/>
  <c r="E178" i="1"/>
  <c r="G178" i="1" s="1"/>
  <c r="E160" i="1"/>
  <c r="D160" i="1"/>
  <c r="C179" i="1"/>
  <c r="D20" i="1"/>
  <c r="D121" i="1"/>
  <c r="D154" i="1"/>
  <c r="D15" i="1"/>
  <c r="D34" i="1"/>
  <c r="E40" i="1"/>
  <c r="E60" i="1"/>
  <c r="B98" i="1"/>
  <c r="E93" i="1"/>
  <c r="D108" i="1"/>
  <c r="B156" i="1"/>
  <c r="B164" i="1" s="1"/>
  <c r="D36" i="1"/>
  <c r="D66" i="1"/>
  <c r="F87" i="1"/>
  <c r="E87" i="1"/>
  <c r="G87" i="1" s="1"/>
  <c r="D93" i="1"/>
  <c r="D112" i="1"/>
  <c r="D129" i="1"/>
  <c r="E17" i="1"/>
  <c r="E46" i="1"/>
  <c r="D49" i="1"/>
  <c r="D68" i="1"/>
  <c r="G76" i="1"/>
  <c r="F78" i="1"/>
  <c r="E78" i="1"/>
  <c r="G78" i="1" s="1"/>
  <c r="D87" i="1"/>
  <c r="B122" i="1"/>
  <c r="D120" i="1"/>
  <c r="E129" i="1"/>
  <c r="D132" i="1"/>
  <c r="G163" i="1"/>
  <c r="F163" i="1"/>
  <c r="G107" i="1"/>
  <c r="F107" i="1"/>
  <c r="D90" i="1"/>
  <c r="C74" i="1"/>
  <c r="F7" i="1"/>
  <c r="D7" i="1"/>
  <c r="E29" i="1"/>
  <c r="E75" i="1"/>
  <c r="D75" i="1"/>
  <c r="E10" i="1"/>
  <c r="D23" i="1"/>
  <c r="D42" i="1"/>
  <c r="D52" i="1"/>
  <c r="E72" i="1"/>
  <c r="D143" i="1"/>
  <c r="B43" i="1"/>
  <c r="E71" i="1"/>
  <c r="D71" i="1"/>
  <c r="E136" i="1"/>
  <c r="D136" i="1"/>
  <c r="D170" i="1"/>
  <c r="D58" i="1"/>
  <c r="D115" i="1"/>
  <c r="G137" i="1"/>
  <c r="F137" i="1"/>
  <c r="E139" i="1"/>
  <c r="D139" i="1"/>
  <c r="E7" i="1"/>
  <c r="G7" i="1" s="1"/>
  <c r="E31" i="1"/>
  <c r="C91" i="1"/>
  <c r="D91" i="1" s="1"/>
  <c r="D104" i="1"/>
  <c r="E115" i="1"/>
  <c r="E44" i="1"/>
  <c r="D55" i="1"/>
  <c r="E62" i="1"/>
  <c r="E143" i="1"/>
  <c r="D13" i="1"/>
  <c r="E22" i="1"/>
  <c r="C88" i="1"/>
  <c r="D105" i="1"/>
  <c r="E116" i="1"/>
  <c r="F148" i="1"/>
  <c r="E148" i="1"/>
  <c r="G148" i="1" s="1"/>
  <c r="D148" i="1"/>
  <c r="C171" i="1"/>
  <c r="D171" i="1" s="1"/>
  <c r="D178" i="1"/>
  <c r="E173" i="1"/>
  <c r="G173" i="1" s="1"/>
  <c r="F180" i="1"/>
  <c r="F185" i="1"/>
  <c r="E188" i="1"/>
  <c r="C97" i="1"/>
  <c r="E100" i="1"/>
  <c r="G100" i="1" s="1"/>
  <c r="D107" i="1" l="1"/>
  <c r="B117" i="1"/>
  <c r="B119" i="1" s="1"/>
  <c r="D144" i="1"/>
  <c r="F144" i="1"/>
  <c r="E156" i="1"/>
  <c r="B165" i="1"/>
  <c r="D137" i="1"/>
  <c r="B141" i="1"/>
  <c r="E137" i="1"/>
  <c r="D179" i="1"/>
  <c r="E190" i="1"/>
  <c r="C165" i="1"/>
  <c r="C167" i="1" s="1"/>
  <c r="B181" i="1"/>
  <c r="G164" i="1"/>
  <c r="E107" i="1"/>
  <c r="E163" i="1"/>
  <c r="G117" i="1"/>
  <c r="F117" i="1"/>
  <c r="D156" i="1"/>
  <c r="C146" i="1"/>
  <c r="E43" i="1"/>
  <c r="D43" i="1"/>
  <c r="F179" i="1"/>
  <c r="E179" i="1"/>
  <c r="G179" i="1" s="1"/>
  <c r="D122" i="1"/>
  <c r="F122" i="1"/>
  <c r="E122" i="1"/>
  <c r="G122" i="1" s="1"/>
  <c r="E97" i="1"/>
  <c r="G97" i="1" s="1"/>
  <c r="F97" i="1"/>
  <c r="F88" i="1"/>
  <c r="E88" i="1"/>
  <c r="G88" i="1" s="1"/>
  <c r="C98" i="1"/>
  <c r="D98" i="1" s="1"/>
  <c r="D88" i="1"/>
  <c r="C81" i="1"/>
  <c r="F91" i="1"/>
  <c r="E91" i="1"/>
  <c r="G91" i="1" s="1"/>
  <c r="C181" i="1"/>
  <c r="F171" i="1"/>
  <c r="E171" i="1"/>
  <c r="G171" i="1" s="1"/>
  <c r="C123" i="1"/>
  <c r="D97" i="1"/>
  <c r="E119" i="1" l="1"/>
  <c r="G119" i="1" s="1"/>
  <c r="F119" i="1"/>
  <c r="D117" i="1"/>
  <c r="D140" i="1"/>
  <c r="E140" i="1"/>
  <c r="E117" i="1"/>
  <c r="D74" i="1"/>
  <c r="B81" i="1"/>
  <c r="F81" i="1" s="1"/>
  <c r="C82" i="1"/>
  <c r="B123" i="1"/>
  <c r="D119" i="1"/>
  <c r="F74" i="1"/>
  <c r="E164" i="1"/>
  <c r="D164" i="1"/>
  <c r="E74" i="1"/>
  <c r="G74" i="1" s="1"/>
  <c r="C191" i="1"/>
  <c r="F98" i="1"/>
  <c r="E98" i="1"/>
  <c r="G98" i="1" s="1"/>
  <c r="F181" i="1"/>
  <c r="E181" i="1"/>
  <c r="G181" i="1" s="1"/>
  <c r="D181" i="1"/>
  <c r="E81" i="1" l="1"/>
  <c r="G81" i="1" s="1"/>
  <c r="D141" i="1"/>
  <c r="B146" i="1"/>
  <c r="F141" i="1"/>
  <c r="E141" i="1"/>
  <c r="G141" i="1" s="1"/>
  <c r="D123" i="1"/>
  <c r="B82" i="1"/>
  <c r="E82" i="1" s="1"/>
  <c r="G82" i="1" s="1"/>
  <c r="D81" i="1"/>
  <c r="C192" i="1"/>
  <c r="D165" i="1"/>
  <c r="B167" i="1"/>
  <c r="E165" i="1"/>
  <c r="G165" i="1" s="1"/>
  <c r="F165" i="1"/>
  <c r="E123" i="1"/>
  <c r="G123" i="1" s="1"/>
  <c r="F123" i="1"/>
  <c r="B191" i="1" l="1"/>
  <c r="B192" i="1" s="1"/>
  <c r="F82" i="1"/>
  <c r="D146" i="1"/>
  <c r="E146" i="1"/>
  <c r="G146" i="1" s="1"/>
  <c r="F146" i="1"/>
  <c r="D167" i="1"/>
  <c r="F167" i="1"/>
  <c r="E167" i="1"/>
  <c r="G167" i="1" s="1"/>
  <c r="C193" i="1"/>
  <c r="D82" i="1"/>
  <c r="D192" i="1" l="1"/>
  <c r="B193" i="1"/>
  <c r="D193" i="1" s="1"/>
  <c r="D191" i="1"/>
  <c r="F191" i="1"/>
  <c r="E191" i="1"/>
  <c r="G191" i="1" s="1"/>
  <c r="F192" i="1"/>
  <c r="E192" i="1"/>
  <c r="G192" i="1" s="1"/>
  <c r="F193" i="1" l="1"/>
  <c r="E193" i="1"/>
  <c r="G193" i="1" s="1"/>
</calcChain>
</file>

<file path=xl/sharedStrings.xml><?xml version="1.0" encoding="utf-8"?>
<sst xmlns="http://schemas.openxmlformats.org/spreadsheetml/2006/main" count="477" uniqueCount="305">
  <si>
    <t>Total</t>
  </si>
  <si>
    <t>Actual</t>
  </si>
  <si>
    <t>Budget</t>
  </si>
  <si>
    <t>over Budget</t>
  </si>
  <si>
    <t>Remaining</t>
  </si>
  <si>
    <t>% of Budget</t>
  </si>
  <si>
    <t>% Remaining</t>
  </si>
  <si>
    <t>Revenue</t>
  </si>
  <si>
    <t xml:space="preserve">   40 Income from Churches</t>
  </si>
  <si>
    <t xml:space="preserve">      40006 Assembly of Saints</t>
  </si>
  <si>
    <t xml:space="preserve">      40015 Broadway Baptist Church</t>
  </si>
  <si>
    <t xml:space="preserve">      40034 Cane Run Station Cowboy Ch.</t>
  </si>
  <si>
    <t xml:space="preserve">      40037 Cedar Grove Baptist Church</t>
  </si>
  <si>
    <t xml:space="preserve">      40040 Center Point Church</t>
  </si>
  <si>
    <t xml:space="preserve">      40045 Central Baptist Church, Paris</t>
  </si>
  <si>
    <t xml:space="preserve">      40060 Clear Creek Baptist Church</t>
  </si>
  <si>
    <t xml:space="preserve">      40065 Clover Bottom Baptist Church</t>
  </si>
  <si>
    <t xml:space="preserve">      40068 Cornerstone Baptist Church, Nic</t>
  </si>
  <si>
    <t xml:space="preserve">      40070 Crosswoods Baptist Church</t>
  </si>
  <si>
    <t xml:space="preserve">      40075 David's Fork Baptist Church</t>
  </si>
  <si>
    <t xml:space="preserve">      40085 Durbin Memorial Baptist Church</t>
  </si>
  <si>
    <t xml:space="preserve">      40089 Haitian Eastern Baptist Church</t>
  </si>
  <si>
    <t xml:space="preserve">      40095 Edgewood Baptist Church</t>
  </si>
  <si>
    <t xml:space="preserve">      40125 First Baptist Church, Paris</t>
  </si>
  <si>
    <t xml:space="preserve">      40130 First Baptist Church, Win.</t>
  </si>
  <si>
    <t xml:space="preserve">      40135 Gano Baptist Church</t>
  </si>
  <si>
    <t xml:space="preserve">      40140 Gardenside Baptist Church</t>
  </si>
  <si>
    <t xml:space="preserve">      40145 Georgetown Baptist Church</t>
  </si>
  <si>
    <t xml:space="preserve">      40153 Gospel Collective Church</t>
  </si>
  <si>
    <t xml:space="preserve">      40155 Grace Baptist Church</t>
  </si>
  <si>
    <t xml:space="preserve">      40160 Great Crossing Baptist Church</t>
  </si>
  <si>
    <t xml:space="preserve">      40165 Highlands Baptist Church</t>
  </si>
  <si>
    <t xml:space="preserve">      40180 Immanuel Baptist Church</t>
  </si>
  <si>
    <t xml:space="preserve">         40180A Immanuel @ Armstrong Mill</t>
  </si>
  <si>
    <t xml:space="preserve">         40180B Immanuel @ Georgetown</t>
  </si>
  <si>
    <t xml:space="preserve">         40180C Immanuel @ Winchester Rd</t>
  </si>
  <si>
    <t xml:space="preserve">      Total 40180 Immanuel Baptist Church</t>
  </si>
  <si>
    <t xml:space="preserve">      40181 The Jericho Initiative</t>
  </si>
  <si>
    <t xml:space="preserve">      40185 Lawrenceburg Community Baptist</t>
  </si>
  <si>
    <t xml:space="preserve">      40191 Living Hope</t>
  </si>
  <si>
    <t xml:space="preserve">      40194 The Local Church</t>
  </si>
  <si>
    <t xml:space="preserve">      40205 Mallard Point Baptist Church</t>
  </si>
  <si>
    <t xml:space="preserve">      40212 Means Baptist Church</t>
  </si>
  <si>
    <t xml:space="preserve">      40230 The Mission Church of Lexington</t>
  </si>
  <si>
    <t xml:space="preserve">      40235 Mt. Freedom Baptist Church</t>
  </si>
  <si>
    <t xml:space="preserve">      40240 Mt. Pleasant Baptist Church</t>
  </si>
  <si>
    <t xml:space="preserve">      40255 New Hope Baptist Church, Vers.</t>
  </si>
  <si>
    <t xml:space="preserve">      40260 Nicholasville Baptist Church</t>
  </si>
  <si>
    <t xml:space="preserve">      40265 North View Baptist Church</t>
  </si>
  <si>
    <t xml:space="preserve">      40273 Palomar Baptist Church</t>
  </si>
  <si>
    <t xml:space="preserve">      40275 Parkway Baptist Church</t>
  </si>
  <si>
    <t xml:space="preserve">      40280 Penn Avenue Baptist Church</t>
  </si>
  <si>
    <t xml:space="preserve">      40285 Pinckard Baptist Church</t>
  </si>
  <si>
    <t xml:space="preserve">      40290 Porter Memorial Baptist Church</t>
  </si>
  <si>
    <t xml:space="preserve">      40305 Rosemont Baptist Church</t>
  </si>
  <si>
    <t xml:space="preserve">      40320 Safe Harbor Baptist Church</t>
  </si>
  <si>
    <t xml:space="preserve">      40335 Silas Baptist Church</t>
  </si>
  <si>
    <t xml:space="preserve">      40340 South Elkhorn Baptist Church</t>
  </si>
  <si>
    <t xml:space="preserve">      40345 Southern Heights Baptist Church</t>
  </si>
  <si>
    <t xml:space="preserve">      40380 Trinity Baptist Church</t>
  </si>
  <si>
    <t xml:space="preserve">      40385 Versailles Baptist Church</t>
  </si>
  <si>
    <t xml:space="preserve">   Total 40 Income from Churches</t>
  </si>
  <si>
    <t xml:space="preserve">   42 KBC Support</t>
  </si>
  <si>
    <t xml:space="preserve">   43 Julia Woodward Offering</t>
  </si>
  <si>
    <t xml:space="preserve">   45 Special/Misc/Interest Income</t>
  </si>
  <si>
    <t xml:space="preserve">   47 Designated Account Income</t>
  </si>
  <si>
    <t xml:space="preserve">   48 KBC WMU Grant</t>
  </si>
  <si>
    <t xml:space="preserve">   49 KBC Ministry Specialist Grant</t>
  </si>
  <si>
    <t>Total Revenue</t>
  </si>
  <si>
    <t>Gross Profit</t>
  </si>
  <si>
    <t>Expenditures</t>
  </si>
  <si>
    <t xml:space="preserve">   641 Administrative Ministry Exp.</t>
  </si>
  <si>
    <t xml:space="preserve">      6411 Administrative Staff</t>
  </si>
  <si>
    <t xml:space="preserve">         6411B Glenda Finance Director</t>
  </si>
  <si>
    <t xml:space="preserve">         6416G FICA</t>
  </si>
  <si>
    <t xml:space="preserve">      Total 6411 Administrative Staff</t>
  </si>
  <si>
    <t xml:space="preserve">      6412 Office Expenses/Communications</t>
  </si>
  <si>
    <t xml:space="preserve">         6412A General Office/Misc Expenses</t>
  </si>
  <si>
    <t xml:space="preserve">      Total 6412 Office Expenses/Communications</t>
  </si>
  <si>
    <t xml:space="preserve">      6416 Staff Benefits</t>
  </si>
  <si>
    <t xml:space="preserve">         6416A David's Employer Retirement Con</t>
  </si>
  <si>
    <t xml:space="preserve">         6416B David's Health/Life Insurance</t>
  </si>
  <si>
    <t xml:space="preserve">      Total 6416 Staff Benefits</t>
  </si>
  <si>
    <t xml:space="preserve">   Total 641 Administrative Ministry Exp.</t>
  </si>
  <si>
    <t xml:space="preserve">   642 Church/Leadership Development</t>
  </si>
  <si>
    <t xml:space="preserve">      6421 Consultants</t>
  </si>
  <si>
    <t xml:space="preserve">         6421B Ambassadors</t>
  </si>
  <si>
    <t xml:space="preserve">            6421B13 Miscellaneous</t>
  </si>
  <si>
    <t xml:space="preserve">            6421B14 Brad Pearce</t>
  </si>
  <si>
    <t xml:space="preserve">               6421B1B Brad Pearce Expenses</t>
  </si>
  <si>
    <t xml:space="preserve">            Total 6421B14 Brad Pearce</t>
  </si>
  <si>
    <t xml:space="preserve">            6421B15 Simon Escareno</t>
  </si>
  <si>
    <t xml:space="preserve">            6421B3 Derek Holmes</t>
  </si>
  <si>
    <t xml:space="preserve">            6421B7 Steve Bruce</t>
  </si>
  <si>
    <t xml:space="preserve">            6421B8 Leon Slatter</t>
  </si>
  <si>
    <t xml:space="preserve">               6421B9A David Barron Expenses</t>
  </si>
  <si>
    <t xml:space="preserve">            Total 6421B9 David Barron</t>
  </si>
  <si>
    <t xml:space="preserve">         Total 6421B Ambassadors</t>
  </si>
  <si>
    <t xml:space="preserve">         6421E Uncommitted</t>
  </si>
  <si>
    <t xml:space="preserve">      Total 6421 Consultants</t>
  </si>
  <si>
    <t xml:space="preserve">      6423 Equipping/Connecting Events/Con</t>
  </si>
  <si>
    <t xml:space="preserve">         6423A1 Events/Grants</t>
  </si>
  <si>
    <t xml:space="preserve">      Total 6423 Equipping/Connecting Events/Con</t>
  </si>
  <si>
    <t xml:space="preserve">   Total 642 Church/Leadership Development</t>
  </si>
  <si>
    <t xml:space="preserve">   643 Church Planting</t>
  </si>
  <si>
    <t xml:space="preserve">      6431 Consultants</t>
  </si>
  <si>
    <t xml:space="preserve">         6431B Ambassadors</t>
  </si>
  <si>
    <t xml:space="preserve">            6431B13 Miscellaneous</t>
  </si>
  <si>
    <t xml:space="preserve">            6431B14 Brad Pearce</t>
  </si>
  <si>
    <t xml:space="preserve">            6431B15 Simon Escareno</t>
  </si>
  <si>
    <t xml:space="preserve">            6431B3 Derek Holmes</t>
  </si>
  <si>
    <t xml:space="preserve">               6431B3A Derek Holmes Expenses</t>
  </si>
  <si>
    <t xml:space="preserve">            Total 6431B3 Derek Holmes</t>
  </si>
  <si>
    <t xml:space="preserve">            6431B7 Steve Bruce</t>
  </si>
  <si>
    <t xml:space="preserve">            6431B8 Leon Slatter</t>
  </si>
  <si>
    <t xml:space="preserve">         Total 6431B Ambassadors</t>
  </si>
  <si>
    <t xml:space="preserve">      Total 6431 Consultants</t>
  </si>
  <si>
    <t xml:space="preserve">      6433 Church Planting/Consultations</t>
  </si>
  <si>
    <t xml:space="preserve">         6433I Events/Grants</t>
  </si>
  <si>
    <t xml:space="preserve">      Total 6433 Church Planting/Consultations</t>
  </si>
  <si>
    <t xml:space="preserve">      6434 KBC Church Planter Grants</t>
  </si>
  <si>
    <t xml:space="preserve">   Total 643 Church Planting</t>
  </si>
  <si>
    <t xml:space="preserve">   644 Church Revitalization</t>
  </si>
  <si>
    <t xml:space="preserve">      6441 Consultants</t>
  </si>
  <si>
    <t xml:space="preserve">         6441B Ambassadors</t>
  </si>
  <si>
    <t xml:space="preserve">            6441B14 Brad Pearce</t>
  </si>
  <si>
    <t xml:space="preserve">            6441B15 Simon Escareno</t>
  </si>
  <si>
    <t xml:space="preserve">               6441B1C Simon Escareno Expenses</t>
  </si>
  <si>
    <t xml:space="preserve">            Total 6441B15 Simon Escareno</t>
  </si>
  <si>
    <t xml:space="preserve">            6441B3 Derek Holmes</t>
  </si>
  <si>
    <t xml:space="preserve">            6441B7 Steve Bruce</t>
  </si>
  <si>
    <t xml:space="preserve">            6441B8 Leon Slatter</t>
  </si>
  <si>
    <t xml:space="preserve">               6441B9A David Barron Expenses</t>
  </si>
  <si>
    <t xml:space="preserve">            Total 6441B9 David Barron</t>
  </si>
  <si>
    <t xml:space="preserve">         Total 6441B Ambassadors</t>
  </si>
  <si>
    <t xml:space="preserve">      Total 6441 Consultants</t>
  </si>
  <si>
    <t xml:space="preserve">      6442 Equipping/Training/Consultation</t>
  </si>
  <si>
    <t xml:space="preserve">   Total 644 Church Revitalization</t>
  </si>
  <si>
    <t xml:space="preserve">   645 Church-Led Compassion/ Min.</t>
  </si>
  <si>
    <t xml:space="preserve">      6451 Compassion/Community Min. Spec.</t>
  </si>
  <si>
    <t xml:space="preserve">         6451B Community Ministries Specialist</t>
  </si>
  <si>
    <t xml:space="preserve">      Total 6451 Compassion/Community Min. Spec.</t>
  </si>
  <si>
    <t xml:space="preserve">      6452 Church Based Ministry Grants</t>
  </si>
  <si>
    <t xml:space="preserve">         6452A Hot Meals</t>
  </si>
  <si>
    <t xml:space="preserve">         6452B Sack Lunch</t>
  </si>
  <si>
    <t xml:space="preserve">         6452D Toy Project</t>
  </si>
  <si>
    <t xml:space="preserve">         6452F Collegiate Ministry</t>
  </si>
  <si>
    <t xml:space="preserve">         6452J Ethnic Focus/Ministry Grants</t>
  </si>
  <si>
    <t xml:space="preserve">         6452K Irishtown Ministry Center</t>
  </si>
  <si>
    <t xml:space="preserve">      Total 6452 Church Based Ministry Grants</t>
  </si>
  <si>
    <t xml:space="preserve">      6453 Disaster Relief/Outreach Units</t>
  </si>
  <si>
    <t xml:space="preserve">   Total 645 Church-Led Compassion/ Min.</t>
  </si>
  <si>
    <t xml:space="preserve">   646 Strategic Partnerships</t>
  </si>
  <si>
    <t xml:space="preserve">   647 Barnabas Team</t>
  </si>
  <si>
    <t xml:space="preserve">   66000 Payroll Expenses</t>
  </si>
  <si>
    <t xml:space="preserve">      Taxes</t>
  </si>
  <si>
    <t xml:space="preserve">      Wages</t>
  </si>
  <si>
    <t xml:space="preserve">   Total 66000 Payroll Expenses</t>
  </si>
  <si>
    <t>Total Expenditures</t>
  </si>
  <si>
    <t>Net Operating Revenue</t>
  </si>
  <si>
    <t>Net Revenue</t>
  </si>
  <si>
    <t xml:space="preserve">Budget vs. Actuals: Budget 2024 - FY24 P&amp;L </t>
  </si>
  <si>
    <t>Central Kentucky Network of Baptists</t>
  </si>
  <si>
    <t>Income from Churches</t>
  </si>
  <si>
    <t xml:space="preserve">         6416H David Barron Benefits</t>
  </si>
  <si>
    <t xml:space="preserve">         6421AA David B Salary/Housing</t>
  </si>
  <si>
    <t xml:space="preserve">            6421B9 Chris Rieber</t>
  </si>
  <si>
    <t xml:space="preserve">         6431AA David B Salary/Housing</t>
  </si>
  <si>
    <t xml:space="preserve">         6441AA David B Salary/Housing</t>
  </si>
  <si>
    <t xml:space="preserve">            6441B9 Chris Rieber</t>
  </si>
  <si>
    <t xml:space="preserve">            Total 6441B9 Chris Rieber</t>
  </si>
  <si>
    <t>Balance Sheet</t>
  </si>
  <si>
    <t>ASSETS</t>
  </si>
  <si>
    <t xml:space="preserve">   Current Assets</t>
  </si>
  <si>
    <t xml:space="preserve">      Bank Accounts</t>
  </si>
  <si>
    <t xml:space="preserve">         1101 Republic Bank</t>
  </si>
  <si>
    <t xml:space="preserve">         1103 Republic Bank Money Market</t>
  </si>
  <si>
    <t xml:space="preserve">         1105A Edward Jones</t>
  </si>
  <si>
    <t xml:space="preserve">            1105 Edward Jones Investment</t>
  </si>
  <si>
    <t xml:space="preserve">         Total 1105A Edward Jones</t>
  </si>
  <si>
    <t xml:space="preserve">         1108 Thrivent</t>
  </si>
  <si>
    <t xml:space="preserve">         1110 Kentucky Baptist Foundation</t>
  </si>
  <si>
    <t xml:space="preserve">         1111 CD - Republic Bank</t>
  </si>
  <si>
    <t xml:space="preserve">         1112 Republic Bank Mexico Missions</t>
  </si>
  <si>
    <t xml:space="preserve">         1113 KBF Stamping Ground BC</t>
  </si>
  <si>
    <t xml:space="preserve">         1114 New Republic Bank CD</t>
  </si>
  <si>
    <t xml:space="preserve">      Total Bank Accounts</t>
  </si>
  <si>
    <t xml:space="preserve">   Total Current Assets</t>
  </si>
  <si>
    <t xml:space="preserve">   Fixed Assets</t>
  </si>
  <si>
    <t xml:space="preserve">      12 Fixed Assets</t>
  </si>
  <si>
    <t xml:space="preserve">         1201 Office Furniture</t>
  </si>
  <si>
    <t xml:space="preserve">         1204 Building/Land - Irishtown</t>
  </si>
  <si>
    <t xml:space="preserve">         1208 Dry Run Property</t>
  </si>
  <si>
    <t xml:space="preserve">      Total 12 Fixed Assets</t>
  </si>
  <si>
    <t xml:space="preserve">   Total Fixed Assets</t>
  </si>
  <si>
    <t>TOTAL ASSETS</t>
  </si>
  <si>
    <t>LIABILITIES AND EQUITY</t>
  </si>
  <si>
    <t xml:space="preserve">   Liabilities</t>
  </si>
  <si>
    <t xml:space="preserve">      Current Liabilities</t>
  </si>
  <si>
    <t xml:space="preserve">         Other Current Liabilities</t>
  </si>
  <si>
    <t xml:space="preserve">            22 Mission Obligation - Designated</t>
  </si>
  <si>
    <t xml:space="preserve">               22A Church/Community Min. Support</t>
  </si>
  <si>
    <t xml:space="preserve">                  2201 Race Track</t>
  </si>
  <si>
    <t xml:space="preserve">                  2203 Disaster Relief Trailer</t>
  </si>
  <si>
    <t xml:space="preserve">                  2204 Evangelism/Party Trailer</t>
  </si>
  <si>
    <t xml:space="preserve">               Total 22A Church/Community Min. Support</t>
  </si>
  <si>
    <t xml:space="preserve">               22B Church Planting</t>
  </si>
  <si>
    <t xml:space="preserve">                  2220 Hispanic Bible Institute</t>
  </si>
  <si>
    <t xml:space="preserve">                  2266 Church Planting</t>
  </si>
  <si>
    <t xml:space="preserve">               Total 22B Church Planting</t>
  </si>
  <si>
    <t xml:space="preserve">               22C Other Designated</t>
  </si>
  <si>
    <t xml:space="preserve">                  2225 SGBC - Scholarship</t>
  </si>
  <si>
    <t xml:space="preserve">                  2238 Mexico Mission Partnership</t>
  </si>
  <si>
    <t xml:space="preserve">                  2243 EDSF</t>
  </si>
  <si>
    <t xml:space="preserve">                  2250 Church Multiplication Strategy</t>
  </si>
  <si>
    <t xml:space="preserve">                  2253 Irishtown Ministry</t>
  </si>
  <si>
    <t xml:space="preserve">                  2254 Pam Polkey Guidestone</t>
  </si>
  <si>
    <t xml:space="preserve">                  2258 Dry Run</t>
  </si>
  <si>
    <t xml:space="preserve">                  2261 MLSA</t>
  </si>
  <si>
    <t xml:space="preserve">                  2263 Hispanic Account</t>
  </si>
  <si>
    <t xml:space="preserve">                  2264 Minister Assistance</t>
  </si>
  <si>
    <t xml:space="preserve">                  2265 Collegiate Ministry Initiative</t>
  </si>
  <si>
    <t xml:space="preserve">               Total 22C Other Designated</t>
  </si>
  <si>
    <t xml:space="preserve">            Total 22 Mission Obligation - Designated</t>
  </si>
  <si>
    <t xml:space="preserve">            24 Payroll Liabilities</t>
  </si>
  <si>
    <t xml:space="preserve">               242 Lexington City Tax Withheld</t>
  </si>
  <si>
    <t xml:space="preserve">               244 Retirement Payable</t>
  </si>
  <si>
    <t xml:space="preserve">                  244A 403b Co. Match Exec. Director</t>
  </si>
  <si>
    <t xml:space="preserve">               Total 244 Retirement Payable</t>
  </si>
  <si>
    <t xml:space="preserve">               245 Health Insurance Payable</t>
  </si>
  <si>
    <t xml:space="preserve">                  245B Assistant Ex Dir. Health Ins</t>
  </si>
  <si>
    <t xml:space="preserve">               Total 245 Health Insurance Payable</t>
  </si>
  <si>
    <t xml:space="preserve">               Federal Taxes (941/943/944)</t>
  </si>
  <si>
    <t xml:space="preserve">               KY Income Tax</t>
  </si>
  <si>
    <t xml:space="preserve">            Total 24 Payroll Liabilities</t>
  </si>
  <si>
    <t xml:space="preserve">         Total Other Current Liabilities</t>
  </si>
  <si>
    <t xml:space="preserve">      Total Current Liabilities</t>
  </si>
  <si>
    <t xml:space="preserve">   Total Liabilities</t>
  </si>
  <si>
    <t xml:space="preserve">   Equity</t>
  </si>
  <si>
    <t xml:space="preserve">      3 Net Assets</t>
  </si>
  <si>
    <t xml:space="preserve">         31 Unrestricted</t>
  </si>
  <si>
    <t xml:space="preserve">         32 Profit Sale of Building/Reno</t>
  </si>
  <si>
    <t xml:space="preserve">         33 Restricted</t>
  </si>
  <si>
    <t xml:space="preserve">            2205 Anna White Missions</t>
  </si>
  <si>
    <t xml:space="preserve">            2226 Sale of Building</t>
  </si>
  <si>
    <t xml:space="preserve">         Total 33 Restricted</t>
  </si>
  <si>
    <t xml:space="preserve">         36 Church Development</t>
  </si>
  <si>
    <t xml:space="preserve">      Total 3 Net Assets</t>
  </si>
  <si>
    <t xml:space="preserve">      30000 Opening Balance Equity</t>
  </si>
  <si>
    <t xml:space="preserve">      32000 Unrestricted Net Assets</t>
  </si>
  <si>
    <t xml:space="preserve">      Net Revenue</t>
  </si>
  <si>
    <t xml:space="preserve">   Total Equity</t>
  </si>
  <si>
    <t>TOTAL LIABILITIES AND EQUITY</t>
  </si>
  <si>
    <t xml:space="preserve">            6421AA David B Salary/Housing</t>
  </si>
  <si>
    <t xml:space="preserve">            6431AA David B Salary/Housing</t>
  </si>
  <si>
    <t xml:space="preserve">            6441AA David B Salary/Housing</t>
  </si>
  <si>
    <t xml:space="preserve">      40004 Anchor Baptist Church</t>
  </si>
  <si>
    <t xml:space="preserve">      40035 Cane Run Baptist Church</t>
  </si>
  <si>
    <t xml:space="preserve">      40069 Commonwealth City Church</t>
  </si>
  <si>
    <t xml:space="preserve">      40120 First Baptist Church, Mt. Sterling</t>
  </si>
  <si>
    <t xml:space="preserve">      40170 Hillcrest Baptist Church</t>
  </si>
  <si>
    <t xml:space="preserve">      40245 Mt. Vernon Baptist Church</t>
  </si>
  <si>
    <t xml:space="preserve">      40292 Providence Baptist Church</t>
  </si>
  <si>
    <t xml:space="preserve">            6431B1C Simon Escareno</t>
  </si>
  <si>
    <t xml:space="preserve">            6431B11 Pam Polkey Expenses </t>
  </si>
  <si>
    <t xml:space="preserve">            Total 6431B15 Simon Escareno</t>
  </si>
  <si>
    <t xml:space="preserve">               6431B3A Derek Holmes </t>
  </si>
  <si>
    <t xml:space="preserve">            6421B11 Pam Polkey Expenses</t>
  </si>
  <si>
    <t xml:space="preserve">            Total 6421B9 </t>
  </si>
  <si>
    <t xml:space="preserve">            6441B13 Miscellaneous</t>
  </si>
  <si>
    <t xml:space="preserve">         6452B Sack Lunch Ministry</t>
  </si>
  <si>
    <t xml:space="preserve">      40035 Cane Run  Baptist Church</t>
  </si>
  <si>
    <t xml:space="preserve">            6431B11 Pam Polkey Expenses</t>
  </si>
  <si>
    <t xml:space="preserve">            6431B1c Simon Escareno</t>
  </si>
  <si>
    <t xml:space="preserve">                  2210 Julia Woodward</t>
  </si>
  <si>
    <t xml:space="preserve">      40395 White Sulphur Baptist Church</t>
  </si>
  <si>
    <t xml:space="preserve">   49 KBC WMU Grant</t>
  </si>
  <si>
    <t xml:space="preserve">      40020 Brookside Baptist Church</t>
  </si>
  <si>
    <t xml:space="preserve">         6416C David's SS/Medicare Match</t>
  </si>
  <si>
    <t xml:space="preserve">      6461 Strategic Partnerships</t>
  </si>
  <si>
    <t xml:space="preserve">   Total 646 Strategic Partnerships</t>
  </si>
  <si>
    <t xml:space="preserve">   Total 647 Barnabas Team</t>
  </si>
  <si>
    <t xml:space="preserve">         6416C David's SS Match</t>
  </si>
  <si>
    <t xml:space="preserve">         Total 6431B 15 Simon Escareno</t>
  </si>
  <si>
    <t xml:space="preserve">      6461 Mission Partnerships</t>
  </si>
  <si>
    <t xml:space="preserve">      40315 Russell Cave Baptist Church</t>
  </si>
  <si>
    <t xml:space="preserve">            6431B1B Brad Pearce Expenses</t>
  </si>
  <si>
    <t xml:space="preserve">            Total 6431B14 Brad Pearce</t>
  </si>
  <si>
    <t xml:space="preserve">            6441B11 Pam Polkey Expenses</t>
  </si>
  <si>
    <t xml:space="preserve">            6441B3A Derek Holmes Expenses</t>
  </si>
  <si>
    <t xml:space="preserve">            Total 6441B3 Derek Holmes</t>
  </si>
  <si>
    <t xml:space="preserve">      40021 Cadentown Baptist Church</t>
  </si>
  <si>
    <t xml:space="preserve">      40141 The Gathering Place</t>
  </si>
  <si>
    <t xml:space="preserve">      40375 The  Church at Tatesbrook</t>
  </si>
  <si>
    <t xml:space="preserve">            6421B1C Simon Escareno Expenses</t>
  </si>
  <si>
    <t xml:space="preserve">            6421B3A Derek Holmes Expenses</t>
  </si>
  <si>
    <t xml:space="preserve">      40375 The Church at Tatesbrook</t>
  </si>
  <si>
    <t xml:space="preserve">            6421B3A Derek HolmesExpenses</t>
  </si>
  <si>
    <t xml:space="preserve">      40195 Long Lick Baptist Church</t>
  </si>
  <si>
    <t xml:space="preserve">   6442 Equipping/Training/Consultation</t>
  </si>
  <si>
    <t xml:space="preserve">      6442E Consultations - Uncommitted</t>
  </si>
  <si>
    <t xml:space="preserve">  Total  6442 Equipping/Training/Consultation</t>
  </si>
  <si>
    <t>YTD Through 8/31/2024</t>
  </si>
  <si>
    <t>As of August 31, 2024</t>
  </si>
  <si>
    <t xml:space="preserve">                  2267 Ministry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</si>
</sst>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\ _€"/>
    <numFmt numFmtId="165" formatCode="&quot;$&quot;* #,##0.00\ _€"/>
  </numFmts>
  <fonts count="14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u val="singleAccounting"/>
      <sz val="8"/>
      <color indexed="8"/>
      <name val="Arial"/>
      <family val="2"/>
    </font>
    <font>
      <b/>
      <u/>
      <sz val="8"/>
      <color indexed="8"/>
      <name val="Arial"/>
      <family val="2"/>
    </font>
    <font>
      <u/>
      <sz val="8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0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0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10" fontId="2" fillId="0" borderId="3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44" fontId="8" fillId="0" borderId="0" xfId="1" applyFont="1" applyAlignment="1">
      <alignment horizontal="right" wrapText="1"/>
    </xf>
    <xf numFmtId="0" fontId="8" fillId="0" borderId="0" xfId="0" applyFont="1" applyAlignment="1">
      <alignment horizontal="left" wrapText="1"/>
    </xf>
    <xf numFmtId="165" fontId="9" fillId="0" borderId="3" xfId="0" applyNumberFormat="1" applyFont="1" applyBorder="1" applyAlignment="1">
      <alignment horizontal="right" wrapText="1"/>
    </xf>
    <xf numFmtId="44" fontId="3" fillId="0" borderId="0" xfId="0" applyNumberFormat="1" applyFont="1" applyAlignment="1">
      <alignment horizontal="right" wrapText="1"/>
    </xf>
    <xf numFmtId="44" fontId="10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 vertical="center" wrapText="1"/>
    </xf>
    <xf numFmtId="44" fontId="9" fillId="0" borderId="0" xfId="0" applyNumberFormat="1" applyFont="1" applyAlignment="1">
      <alignment horizontal="right" wrapText="1"/>
    </xf>
    <xf numFmtId="44" fontId="11" fillId="0" borderId="0" xfId="0" applyNumberFormat="1" applyFont="1" applyAlignment="1">
      <alignment horizontal="right" wrapText="1"/>
    </xf>
    <xf numFmtId="44" fontId="0" fillId="0" borderId="0" xfId="0" applyNumberFormat="1"/>
    <xf numFmtId="44" fontId="8" fillId="0" borderId="0" xfId="0" applyNumberFormat="1" applyFont="1" applyAlignment="1">
      <alignment wrapText="1"/>
    </xf>
    <xf numFmtId="164" fontId="9" fillId="0" borderId="0" xfId="0" applyNumberFormat="1" applyFont="1" applyAlignment="1">
      <alignment horizontal="right" wrapText="1"/>
    </xf>
    <xf numFmtId="164" fontId="9" fillId="0" borderId="1" xfId="0" applyNumberFormat="1" applyFont="1" applyBorder="1" applyAlignment="1">
      <alignment horizontal="right" wrapText="1"/>
    </xf>
    <xf numFmtId="44" fontId="9" fillId="0" borderId="1" xfId="0" applyNumberFormat="1" applyFont="1" applyBorder="1" applyAlignment="1">
      <alignment wrapText="1"/>
    </xf>
    <xf numFmtId="164" fontId="12" fillId="0" borderId="1" xfId="0" applyNumberFormat="1" applyFont="1" applyBorder="1" applyAlignment="1">
      <alignment horizontal="right" wrapText="1"/>
    </xf>
    <xf numFmtId="164" fontId="8" fillId="0" borderId="1" xfId="0" applyNumberFormat="1" applyFont="1" applyBorder="1" applyAlignment="1">
      <alignment wrapText="1"/>
    </xf>
    <xf numFmtId="44" fontId="8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7" fontId="5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17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B0A58-1A4E-4487-8402-2029650C616A}">
  <dimension ref="A1:B195"/>
  <sheetViews>
    <sheetView topLeftCell="A181" workbookViewId="0">
      <selection activeCell="B192" sqref="B192"/>
    </sheetView>
  </sheetViews>
  <sheetFormatPr defaultRowHeight="15" x14ac:dyDescent="0.25"/>
  <cols>
    <col min="1" max="1" width="42.140625" customWidth="1"/>
    <col min="2" max="2" width="31.85546875" customWidth="1"/>
    <col min="4" max="4" width="46.140625" customWidth="1"/>
  </cols>
  <sheetData>
    <row r="1" spans="1:2" ht="18" x14ac:dyDescent="0.25">
      <c r="A1" s="28" t="s">
        <v>162</v>
      </c>
      <c r="B1" s="29"/>
    </row>
    <row r="2" spans="1:2" ht="18" x14ac:dyDescent="0.25">
      <c r="A2" s="28" t="s">
        <v>163</v>
      </c>
      <c r="B2" s="29"/>
    </row>
    <row r="3" spans="1:2" x14ac:dyDescent="0.25">
      <c r="A3" s="30">
        <v>45505</v>
      </c>
      <c r="B3" s="29"/>
    </row>
    <row r="5" spans="1:2" x14ac:dyDescent="0.25">
      <c r="A5" s="1"/>
      <c r="B5" s="2" t="s">
        <v>0</v>
      </c>
    </row>
    <row r="6" spans="1:2" x14ac:dyDescent="0.25">
      <c r="A6" s="3" t="s">
        <v>7</v>
      </c>
      <c r="B6" s="4"/>
    </row>
    <row r="7" spans="1:2" ht="15" customHeight="1" x14ac:dyDescent="0.25">
      <c r="A7" s="3" t="s">
        <v>8</v>
      </c>
      <c r="B7" s="5">
        <f>0</f>
        <v>0</v>
      </c>
    </row>
    <row r="8" spans="1:2" ht="15" customHeight="1" x14ac:dyDescent="0.25">
      <c r="A8" s="3" t="s">
        <v>256</v>
      </c>
      <c r="B8" s="5">
        <v>2000</v>
      </c>
    </row>
    <row r="9" spans="1:2" ht="15" customHeight="1" x14ac:dyDescent="0.25">
      <c r="A9" s="3" t="s">
        <v>9</v>
      </c>
      <c r="B9" s="5">
        <v>0</v>
      </c>
    </row>
    <row r="10" spans="1:2" ht="15" customHeight="1" x14ac:dyDescent="0.25">
      <c r="A10" s="3" t="s">
        <v>10</v>
      </c>
      <c r="B10" s="5">
        <v>530.23</v>
      </c>
    </row>
    <row r="11" spans="1:2" ht="15" customHeight="1" x14ac:dyDescent="0.25">
      <c r="A11" s="3" t="s">
        <v>277</v>
      </c>
      <c r="B11" s="5">
        <v>0</v>
      </c>
    </row>
    <row r="12" spans="1:2" ht="15" customHeight="1" x14ac:dyDescent="0.25">
      <c r="A12" s="3" t="s">
        <v>291</v>
      </c>
      <c r="B12" s="5">
        <v>0</v>
      </c>
    </row>
    <row r="13" spans="1:2" ht="15" customHeight="1" x14ac:dyDescent="0.25">
      <c r="A13" s="3" t="s">
        <v>11</v>
      </c>
      <c r="B13" s="5">
        <v>0</v>
      </c>
    </row>
    <row r="14" spans="1:2" ht="15" customHeight="1" x14ac:dyDescent="0.25">
      <c r="A14" s="3" t="s">
        <v>257</v>
      </c>
      <c r="B14" s="5">
        <v>0</v>
      </c>
    </row>
    <row r="15" spans="1:2" ht="15" customHeight="1" x14ac:dyDescent="0.25">
      <c r="A15" s="3" t="s">
        <v>12</v>
      </c>
      <c r="B15" s="5">
        <v>0</v>
      </c>
    </row>
    <row r="16" spans="1:2" ht="15" customHeight="1" x14ac:dyDescent="0.25">
      <c r="A16" s="3" t="s">
        <v>13</v>
      </c>
      <c r="B16" s="5">
        <v>200</v>
      </c>
    </row>
    <row r="17" spans="1:2" ht="15" customHeight="1" x14ac:dyDescent="0.25">
      <c r="A17" s="3" t="s">
        <v>14</v>
      </c>
      <c r="B17" s="5">
        <v>0</v>
      </c>
    </row>
    <row r="18" spans="1:2" ht="15" customHeight="1" x14ac:dyDescent="0.25">
      <c r="A18" s="3" t="s">
        <v>15</v>
      </c>
      <c r="B18" s="5">
        <f>25</f>
        <v>25</v>
      </c>
    </row>
    <row r="19" spans="1:2" ht="15" customHeight="1" x14ac:dyDescent="0.25">
      <c r="A19" s="3" t="s">
        <v>16</v>
      </c>
      <c r="B19" s="5">
        <v>0</v>
      </c>
    </row>
    <row r="20" spans="1:2" ht="15" customHeight="1" x14ac:dyDescent="0.25">
      <c r="A20" s="3" t="s">
        <v>17</v>
      </c>
      <c r="B20" s="5">
        <v>183</v>
      </c>
    </row>
    <row r="21" spans="1:2" ht="15" customHeight="1" x14ac:dyDescent="0.25">
      <c r="A21" s="3" t="s">
        <v>258</v>
      </c>
      <c r="B21" s="5">
        <v>500</v>
      </c>
    </row>
    <row r="22" spans="1:2" ht="15" customHeight="1" x14ac:dyDescent="0.25">
      <c r="A22" s="3" t="s">
        <v>18</v>
      </c>
      <c r="B22" s="5">
        <v>2177.8000000000002</v>
      </c>
    </row>
    <row r="23" spans="1:2" ht="15" customHeight="1" x14ac:dyDescent="0.25">
      <c r="A23" s="3" t="s">
        <v>19</v>
      </c>
      <c r="B23" s="5">
        <v>1125</v>
      </c>
    </row>
    <row r="24" spans="1:2" ht="15" customHeight="1" x14ac:dyDescent="0.25">
      <c r="A24" s="3" t="s">
        <v>20</v>
      </c>
      <c r="B24" s="5">
        <v>0</v>
      </c>
    </row>
    <row r="25" spans="1:2" ht="15" customHeight="1" x14ac:dyDescent="0.25">
      <c r="A25" s="3" t="s">
        <v>21</v>
      </c>
      <c r="B25" s="5">
        <v>40</v>
      </c>
    </row>
    <row r="26" spans="1:2" ht="15" customHeight="1" x14ac:dyDescent="0.25">
      <c r="A26" s="3" t="s">
        <v>22</v>
      </c>
      <c r="B26" s="5">
        <v>0</v>
      </c>
    </row>
    <row r="27" spans="1:2" ht="15" customHeight="1" x14ac:dyDescent="0.25">
      <c r="A27" s="3" t="s">
        <v>259</v>
      </c>
      <c r="B27" s="5">
        <v>208.33</v>
      </c>
    </row>
    <row r="28" spans="1:2" ht="15" customHeight="1" x14ac:dyDescent="0.25">
      <c r="A28" s="3" t="s">
        <v>23</v>
      </c>
      <c r="B28" s="5">
        <v>0</v>
      </c>
    </row>
    <row r="29" spans="1:2" ht="15" customHeight="1" x14ac:dyDescent="0.25">
      <c r="A29" s="3" t="s">
        <v>24</v>
      </c>
      <c r="B29" s="5">
        <v>0</v>
      </c>
    </row>
    <row r="30" spans="1:2" ht="15" customHeight="1" x14ac:dyDescent="0.25">
      <c r="A30" s="3" t="s">
        <v>25</v>
      </c>
      <c r="B30" s="5">
        <v>2800.97</v>
      </c>
    </row>
    <row r="31" spans="1:2" ht="15" customHeight="1" x14ac:dyDescent="0.25">
      <c r="A31" s="3" t="s">
        <v>26</v>
      </c>
      <c r="B31" s="5">
        <f>200</f>
        <v>200</v>
      </c>
    </row>
    <row r="32" spans="1:2" ht="15" customHeight="1" x14ac:dyDescent="0.25">
      <c r="A32" s="3" t="s">
        <v>292</v>
      </c>
      <c r="B32" s="5">
        <v>0</v>
      </c>
    </row>
    <row r="33" spans="1:2" ht="15" customHeight="1" x14ac:dyDescent="0.25">
      <c r="A33" s="3" t="s">
        <v>27</v>
      </c>
      <c r="B33" s="5">
        <v>0</v>
      </c>
    </row>
    <row r="34" spans="1:2" ht="15" customHeight="1" x14ac:dyDescent="0.25">
      <c r="A34" s="3" t="s">
        <v>28</v>
      </c>
      <c r="B34" s="5">
        <f>100</f>
        <v>100</v>
      </c>
    </row>
    <row r="35" spans="1:2" ht="15" customHeight="1" x14ac:dyDescent="0.25">
      <c r="A35" s="3" t="s">
        <v>29</v>
      </c>
      <c r="B35" s="5">
        <f>175</f>
        <v>175</v>
      </c>
    </row>
    <row r="36" spans="1:2" ht="15" customHeight="1" x14ac:dyDescent="0.25">
      <c r="A36" s="3" t="s">
        <v>30</v>
      </c>
      <c r="B36" s="5">
        <v>703</v>
      </c>
    </row>
    <row r="37" spans="1:2" ht="15" customHeight="1" x14ac:dyDescent="0.25">
      <c r="A37" s="3" t="s">
        <v>31</v>
      </c>
      <c r="B37" s="5">
        <v>0</v>
      </c>
    </row>
    <row r="38" spans="1:2" ht="15" customHeight="1" x14ac:dyDescent="0.25">
      <c r="A38" s="3" t="s">
        <v>260</v>
      </c>
      <c r="B38" s="5">
        <v>0</v>
      </c>
    </row>
    <row r="39" spans="1:2" ht="15" customHeight="1" x14ac:dyDescent="0.25">
      <c r="A39" s="3" t="s">
        <v>32</v>
      </c>
      <c r="B39" s="5">
        <v>3615.86</v>
      </c>
    </row>
    <row r="40" spans="1:2" ht="15" customHeight="1" x14ac:dyDescent="0.25">
      <c r="A40" s="3" t="s">
        <v>33</v>
      </c>
      <c r="B40" s="5">
        <v>327.93</v>
      </c>
    </row>
    <row r="41" spans="1:2" ht="15" customHeight="1" x14ac:dyDescent="0.25">
      <c r="A41" s="3" t="s">
        <v>34</v>
      </c>
      <c r="B41" s="5">
        <v>211.09</v>
      </c>
    </row>
    <row r="42" spans="1:2" ht="15" customHeight="1" x14ac:dyDescent="0.25">
      <c r="A42" s="3" t="s">
        <v>35</v>
      </c>
      <c r="B42" s="5">
        <v>83.6</v>
      </c>
    </row>
    <row r="43" spans="1:2" ht="15" customHeight="1" x14ac:dyDescent="0.25">
      <c r="A43" s="3" t="s">
        <v>36</v>
      </c>
      <c r="B43" s="9">
        <f>(((B39)+(B40))+(B41))+(B42)</f>
        <v>4238.4800000000005</v>
      </c>
    </row>
    <row r="44" spans="1:2" ht="15" customHeight="1" x14ac:dyDescent="0.25">
      <c r="A44" s="3" t="s">
        <v>37</v>
      </c>
      <c r="B44" s="5">
        <v>0</v>
      </c>
    </row>
    <row r="45" spans="1:2" ht="15" customHeight="1" x14ac:dyDescent="0.25">
      <c r="A45" s="3" t="s">
        <v>38</v>
      </c>
      <c r="B45" s="5">
        <v>144.04</v>
      </c>
    </row>
    <row r="46" spans="1:2" ht="15" customHeight="1" x14ac:dyDescent="0.25">
      <c r="A46" s="3" t="s">
        <v>298</v>
      </c>
      <c r="B46" s="5">
        <v>500</v>
      </c>
    </row>
    <row r="47" spans="1:2" ht="15" customHeight="1" x14ac:dyDescent="0.25">
      <c r="A47" s="3" t="s">
        <v>39</v>
      </c>
      <c r="B47" s="5">
        <v>0</v>
      </c>
    </row>
    <row r="48" spans="1:2" ht="15" customHeight="1" x14ac:dyDescent="0.25">
      <c r="A48" s="3" t="s">
        <v>40</v>
      </c>
      <c r="B48" s="5">
        <v>0</v>
      </c>
    </row>
    <row r="49" spans="1:2" ht="15" customHeight="1" x14ac:dyDescent="0.25">
      <c r="A49" s="3" t="s">
        <v>41</v>
      </c>
      <c r="B49" s="5">
        <v>158.03</v>
      </c>
    </row>
    <row r="50" spans="1:2" ht="15" customHeight="1" x14ac:dyDescent="0.25">
      <c r="A50" s="3" t="s">
        <v>42</v>
      </c>
      <c r="B50" s="5">
        <v>115.92</v>
      </c>
    </row>
    <row r="51" spans="1:2" ht="15" customHeight="1" x14ac:dyDescent="0.25">
      <c r="A51" s="3" t="s">
        <v>43</v>
      </c>
      <c r="B51" s="5">
        <f>300</f>
        <v>300</v>
      </c>
    </row>
    <row r="52" spans="1:2" ht="15" customHeight="1" x14ac:dyDescent="0.25">
      <c r="A52" s="3" t="s">
        <v>44</v>
      </c>
      <c r="B52" s="5">
        <v>538.16</v>
      </c>
    </row>
    <row r="53" spans="1:2" ht="15" customHeight="1" x14ac:dyDescent="0.25">
      <c r="A53" s="3" t="s">
        <v>45</v>
      </c>
      <c r="B53" s="5">
        <f>150</f>
        <v>150</v>
      </c>
    </row>
    <row r="54" spans="1:2" ht="15" customHeight="1" x14ac:dyDescent="0.25">
      <c r="A54" s="3" t="s">
        <v>261</v>
      </c>
      <c r="B54" s="5">
        <v>0</v>
      </c>
    </row>
    <row r="55" spans="1:2" ht="15" customHeight="1" x14ac:dyDescent="0.25">
      <c r="A55" s="3" t="s">
        <v>46</v>
      </c>
      <c r="B55" s="5">
        <v>0</v>
      </c>
    </row>
    <row r="56" spans="1:2" ht="15" customHeight="1" x14ac:dyDescent="0.25">
      <c r="A56" s="3" t="s">
        <v>47</v>
      </c>
      <c r="B56" s="5">
        <v>550</v>
      </c>
    </row>
    <row r="57" spans="1:2" ht="15" customHeight="1" x14ac:dyDescent="0.25">
      <c r="A57" s="3" t="s">
        <v>48</v>
      </c>
      <c r="B57" s="5">
        <v>0</v>
      </c>
    </row>
    <row r="58" spans="1:2" ht="15" customHeight="1" x14ac:dyDescent="0.25">
      <c r="A58" s="3" t="s">
        <v>49</v>
      </c>
      <c r="B58" s="5">
        <v>100</v>
      </c>
    </row>
    <row r="59" spans="1:2" ht="15" customHeight="1" x14ac:dyDescent="0.25">
      <c r="A59" s="3" t="s">
        <v>50</v>
      </c>
      <c r="B59" s="5">
        <v>307.79000000000002</v>
      </c>
    </row>
    <row r="60" spans="1:2" ht="15" customHeight="1" x14ac:dyDescent="0.25">
      <c r="A60" s="3" t="s">
        <v>51</v>
      </c>
      <c r="B60" s="5">
        <v>0</v>
      </c>
    </row>
    <row r="61" spans="1:2" ht="15" customHeight="1" x14ac:dyDescent="0.25">
      <c r="A61" s="3" t="s">
        <v>52</v>
      </c>
      <c r="B61" s="5">
        <v>467.1</v>
      </c>
    </row>
    <row r="62" spans="1:2" ht="15" customHeight="1" x14ac:dyDescent="0.25">
      <c r="A62" s="3" t="s">
        <v>53</v>
      </c>
      <c r="B62" s="5">
        <f>2377.5</f>
        <v>2377.5</v>
      </c>
    </row>
    <row r="63" spans="1:2" ht="15" customHeight="1" x14ac:dyDescent="0.25">
      <c r="A63" s="3" t="s">
        <v>262</v>
      </c>
      <c r="B63" s="5">
        <v>0</v>
      </c>
    </row>
    <row r="64" spans="1:2" ht="15" customHeight="1" x14ac:dyDescent="0.25">
      <c r="A64" s="3" t="s">
        <v>54</v>
      </c>
      <c r="B64" s="5">
        <v>713.51</v>
      </c>
    </row>
    <row r="65" spans="1:2" ht="15" customHeight="1" x14ac:dyDescent="0.25">
      <c r="A65" s="3" t="s">
        <v>285</v>
      </c>
      <c r="B65" s="5">
        <v>0</v>
      </c>
    </row>
    <row r="66" spans="1:2" ht="15" customHeight="1" x14ac:dyDescent="0.25">
      <c r="A66" s="3" t="s">
        <v>55</v>
      </c>
      <c r="B66" s="5">
        <v>233.33</v>
      </c>
    </row>
    <row r="67" spans="1:2" ht="15" customHeight="1" x14ac:dyDescent="0.25">
      <c r="A67" s="3" t="s">
        <v>56</v>
      </c>
      <c r="B67" s="5">
        <v>312.36</v>
      </c>
    </row>
    <row r="68" spans="1:2" ht="15" customHeight="1" x14ac:dyDescent="0.25">
      <c r="A68" s="3" t="s">
        <v>57</v>
      </c>
      <c r="B68" s="5">
        <v>100</v>
      </c>
    </row>
    <row r="69" spans="1:2" ht="15" customHeight="1" x14ac:dyDescent="0.25">
      <c r="A69" s="3" t="s">
        <v>58</v>
      </c>
      <c r="B69" s="5">
        <v>313.79000000000002</v>
      </c>
    </row>
    <row r="70" spans="1:2" ht="15" customHeight="1" x14ac:dyDescent="0.25">
      <c r="A70" s="3" t="s">
        <v>293</v>
      </c>
      <c r="B70" s="5">
        <v>0</v>
      </c>
    </row>
    <row r="71" spans="1:2" ht="15" customHeight="1" x14ac:dyDescent="0.25">
      <c r="A71" s="3" t="s">
        <v>59</v>
      </c>
      <c r="B71" s="5">
        <v>0</v>
      </c>
    </row>
    <row r="72" spans="1:2" ht="15" customHeight="1" x14ac:dyDescent="0.25">
      <c r="A72" s="3" t="s">
        <v>60</v>
      </c>
      <c r="B72" s="5">
        <v>1602.22</v>
      </c>
    </row>
    <row r="73" spans="1:2" ht="15" customHeight="1" x14ac:dyDescent="0.25">
      <c r="A73" s="3" t="s">
        <v>275</v>
      </c>
      <c r="B73" s="5">
        <v>142.34</v>
      </c>
    </row>
    <row r="74" spans="1:2" ht="15" customHeight="1" x14ac:dyDescent="0.25">
      <c r="A74" s="3" t="s">
        <v>61</v>
      </c>
      <c r="B74" s="9">
        <f>((((((((((((((((((((((((((((((((((((((((((((((((B7)+(B9))+(B10))+(B13))+(B15))+(B16))+(B17))+(B18))+(B19))+(B20))+(B22))+(B23))+(B24))+(B25))+(B26))+(B28))+(B29))+(B30))+(B31))+(B33))+(B34))+(B35))+(B36))+(B37))+(B43))+(B44))+(B45))+(B47))+(B48))+(B49))+(B50))+(B51))+(B52))+(B53))+(B55))+(B56))+(B57))+(B58))+(B59))+(B60))+(B61))+(B62))+(B64))+(B66))+(B67))+(B68))+(B69))+(B71))+(B72)+B8+B14+B21+B27+B38+B54+B63+B73+B11+B65+B12+B70+B32+B46</f>
        <v>24332.900000000009</v>
      </c>
    </row>
    <row r="75" spans="1:2" ht="15" customHeight="1" x14ac:dyDescent="0.25">
      <c r="A75" s="3" t="s">
        <v>62</v>
      </c>
      <c r="B75" s="5">
        <v>2162.5</v>
      </c>
    </row>
    <row r="76" spans="1:2" ht="15" customHeight="1" x14ac:dyDescent="0.25">
      <c r="A76" s="3" t="s">
        <v>63</v>
      </c>
      <c r="B76" s="5">
        <v>0</v>
      </c>
    </row>
    <row r="77" spans="1:2" ht="15" customHeight="1" x14ac:dyDescent="0.25">
      <c r="A77" s="3" t="s">
        <v>64</v>
      </c>
      <c r="B77" s="5">
        <v>3310.61</v>
      </c>
    </row>
    <row r="78" spans="1:2" ht="15" customHeight="1" x14ac:dyDescent="0.25">
      <c r="A78" s="3" t="s">
        <v>276</v>
      </c>
      <c r="B78" s="5">
        <v>0</v>
      </c>
    </row>
    <row r="79" spans="1:2" ht="15" customHeight="1" x14ac:dyDescent="0.25">
      <c r="A79" s="3" t="s">
        <v>67</v>
      </c>
      <c r="B79" s="5">
        <v>1250</v>
      </c>
    </row>
    <row r="80" spans="1:2" ht="15" customHeight="1" x14ac:dyDescent="0.25">
      <c r="A80" s="3" t="s">
        <v>68</v>
      </c>
      <c r="B80" s="9">
        <f>((B74)+(B75))+(B77)+B79+B76+B78</f>
        <v>31056.010000000009</v>
      </c>
    </row>
    <row r="81" spans="1:2" ht="15" customHeight="1" x14ac:dyDescent="0.25">
      <c r="A81" s="3" t="s">
        <v>69</v>
      </c>
      <c r="B81" s="9">
        <f>(B80)-(0)</f>
        <v>31056.010000000009</v>
      </c>
    </row>
    <row r="82" spans="1:2" ht="15" customHeight="1" x14ac:dyDescent="0.25">
      <c r="A82" s="3" t="s">
        <v>70</v>
      </c>
      <c r="B82" s="4"/>
    </row>
    <row r="83" spans="1:2" ht="15" customHeight="1" x14ac:dyDescent="0.25">
      <c r="A83" s="3" t="s">
        <v>71</v>
      </c>
      <c r="B83" s="5">
        <f>0</f>
        <v>0</v>
      </c>
    </row>
    <row r="84" spans="1:2" ht="15" hidden="1" customHeight="1" x14ac:dyDescent="0.25">
      <c r="A84" s="3" t="s">
        <v>72</v>
      </c>
      <c r="B84" s="5">
        <f>0</f>
        <v>0</v>
      </c>
    </row>
    <row r="85" spans="1:2" ht="15" hidden="1" customHeight="1" x14ac:dyDescent="0.25">
      <c r="A85" s="3" t="s">
        <v>73</v>
      </c>
      <c r="B85" s="5">
        <f>772.5</f>
        <v>772.5</v>
      </c>
    </row>
    <row r="86" spans="1:2" ht="15" hidden="1" customHeight="1" x14ac:dyDescent="0.25">
      <c r="A86" s="3" t="s">
        <v>74</v>
      </c>
      <c r="B86" s="5">
        <v>59.09</v>
      </c>
    </row>
    <row r="87" spans="1:2" ht="15" customHeight="1" x14ac:dyDescent="0.25">
      <c r="A87" s="3" t="s">
        <v>75</v>
      </c>
      <c r="B87" s="9">
        <f>((B84)+(B85))+(B86)</f>
        <v>831.59</v>
      </c>
    </row>
    <row r="88" spans="1:2" ht="15" customHeight="1" x14ac:dyDescent="0.25">
      <c r="A88" s="3" t="s">
        <v>76</v>
      </c>
      <c r="B88" s="5">
        <f>0</f>
        <v>0</v>
      </c>
    </row>
    <row r="89" spans="1:2" ht="15" customHeight="1" x14ac:dyDescent="0.25">
      <c r="A89" s="3" t="s">
        <v>77</v>
      </c>
      <c r="B89" s="5">
        <v>416.19</v>
      </c>
    </row>
    <row r="90" spans="1:2" ht="15" customHeight="1" x14ac:dyDescent="0.25">
      <c r="A90" s="3" t="s">
        <v>78</v>
      </c>
      <c r="B90" s="9">
        <f>(B88)+(B89)</f>
        <v>416.19</v>
      </c>
    </row>
    <row r="91" spans="1:2" ht="15.75" customHeight="1" x14ac:dyDescent="0.25">
      <c r="A91" s="3" t="s">
        <v>79</v>
      </c>
      <c r="B91" s="5">
        <f>0</f>
        <v>0</v>
      </c>
    </row>
    <row r="92" spans="1:2" ht="15" hidden="1" customHeight="1" x14ac:dyDescent="0.25">
      <c r="A92" s="3" t="s">
        <v>80</v>
      </c>
      <c r="B92" s="5">
        <v>1104.07</v>
      </c>
    </row>
    <row r="93" spans="1:2" ht="15" hidden="1" customHeight="1" x14ac:dyDescent="0.25">
      <c r="A93" s="3" t="s">
        <v>81</v>
      </c>
      <c r="B93" s="5">
        <v>695.26</v>
      </c>
    </row>
    <row r="94" spans="1:2" ht="15" hidden="1" customHeight="1" x14ac:dyDescent="0.25">
      <c r="A94" s="3" t="s">
        <v>278</v>
      </c>
      <c r="B94" s="5">
        <v>478.13</v>
      </c>
    </row>
    <row r="95" spans="1:2" ht="15" hidden="1" customHeight="1" x14ac:dyDescent="0.25">
      <c r="A95" s="3" t="s">
        <v>164</v>
      </c>
      <c r="B95" s="5">
        <v>2799.2</v>
      </c>
    </row>
    <row r="96" spans="1:2" ht="15" hidden="1" customHeight="1" x14ac:dyDescent="0.25">
      <c r="A96" s="3" t="s">
        <v>82</v>
      </c>
      <c r="B96" s="9">
        <f>(((B91)+(B92))+(B93))+(B95)+B94</f>
        <v>5076.66</v>
      </c>
    </row>
    <row r="97" spans="1:2" ht="15" customHeight="1" x14ac:dyDescent="0.25">
      <c r="A97" s="3" t="s">
        <v>83</v>
      </c>
      <c r="B97" s="9">
        <f>(((B83)+(B87))+(B90))+(B96)</f>
        <v>6324.44</v>
      </c>
    </row>
    <row r="98" spans="1:2" ht="15" customHeight="1" x14ac:dyDescent="0.25">
      <c r="A98" s="3" t="s">
        <v>84</v>
      </c>
      <c r="B98" s="5">
        <f>0</f>
        <v>0</v>
      </c>
    </row>
    <row r="99" spans="1:2" ht="15" customHeight="1" x14ac:dyDescent="0.25">
      <c r="A99" s="3" t="s">
        <v>85</v>
      </c>
      <c r="B99" s="5">
        <f>0</f>
        <v>0</v>
      </c>
    </row>
    <row r="100" spans="1:2" ht="15" hidden="1" customHeight="1" x14ac:dyDescent="0.25">
      <c r="A100" s="3" t="s">
        <v>165</v>
      </c>
      <c r="B100" s="5">
        <f>843.02</f>
        <v>843.02</v>
      </c>
    </row>
    <row r="101" spans="1:2" ht="15" hidden="1" customHeight="1" x14ac:dyDescent="0.25">
      <c r="A101" s="3" t="s">
        <v>86</v>
      </c>
      <c r="B101" s="5">
        <f>0</f>
        <v>0</v>
      </c>
    </row>
    <row r="102" spans="1:2" ht="15" hidden="1" customHeight="1" x14ac:dyDescent="0.25">
      <c r="A102" s="13" t="s">
        <v>267</v>
      </c>
      <c r="B102" s="5">
        <v>240.5</v>
      </c>
    </row>
    <row r="103" spans="1:2" ht="15" hidden="1" customHeight="1" x14ac:dyDescent="0.25">
      <c r="A103" s="3" t="s">
        <v>87</v>
      </c>
      <c r="B103" s="5">
        <v>200</v>
      </c>
    </row>
    <row r="104" spans="1:2" ht="15" hidden="1" customHeight="1" x14ac:dyDescent="0.25">
      <c r="A104" s="3" t="s">
        <v>88</v>
      </c>
      <c r="B104" s="5">
        <v>700</v>
      </c>
    </row>
    <row r="105" spans="1:2" ht="15" hidden="1" customHeight="1" x14ac:dyDescent="0.25">
      <c r="A105" s="3" t="s">
        <v>89</v>
      </c>
      <c r="B105" s="5">
        <v>120</v>
      </c>
    </row>
    <row r="106" spans="1:2" ht="15" hidden="1" customHeight="1" x14ac:dyDescent="0.25">
      <c r="A106" s="3" t="s">
        <v>90</v>
      </c>
      <c r="B106" s="9">
        <f>(B104)+(B105)</f>
        <v>820</v>
      </c>
    </row>
    <row r="107" spans="1:2" ht="15" hidden="1" customHeight="1" x14ac:dyDescent="0.25">
      <c r="A107" s="3" t="s">
        <v>91</v>
      </c>
      <c r="B107" s="5">
        <v>0</v>
      </c>
    </row>
    <row r="108" spans="1:2" ht="15" customHeight="1" x14ac:dyDescent="0.25">
      <c r="A108" s="3" t="s">
        <v>294</v>
      </c>
      <c r="B108" s="5">
        <v>60</v>
      </c>
    </row>
    <row r="109" spans="1:2" ht="15" customHeight="1" x14ac:dyDescent="0.25">
      <c r="A109" s="3" t="s">
        <v>92</v>
      </c>
      <c r="B109" s="5">
        <v>1540</v>
      </c>
    </row>
    <row r="110" spans="1:2" ht="15" customHeight="1" x14ac:dyDescent="0.25">
      <c r="A110" s="3" t="s">
        <v>295</v>
      </c>
      <c r="B110" s="5">
        <v>120</v>
      </c>
    </row>
    <row r="111" spans="1:2" ht="15" customHeight="1" x14ac:dyDescent="0.25">
      <c r="A111" s="3" t="s">
        <v>93</v>
      </c>
      <c r="B111" s="5">
        <v>0</v>
      </c>
    </row>
    <row r="112" spans="1:2" ht="15" customHeight="1" x14ac:dyDescent="0.25">
      <c r="A112" s="3" t="s">
        <v>94</v>
      </c>
      <c r="B112" s="5">
        <v>300</v>
      </c>
    </row>
    <row r="113" spans="1:2" ht="15" customHeight="1" x14ac:dyDescent="0.25">
      <c r="A113" s="3" t="s">
        <v>166</v>
      </c>
      <c r="B113" s="5">
        <f>300</f>
        <v>300</v>
      </c>
    </row>
    <row r="114" spans="1:2" ht="15" customHeight="1" x14ac:dyDescent="0.25">
      <c r="A114" s="3" t="s">
        <v>95</v>
      </c>
      <c r="B114" s="5">
        <v>-406.7</v>
      </c>
    </row>
    <row r="115" spans="1:2" ht="15" customHeight="1" x14ac:dyDescent="0.25">
      <c r="A115" s="3" t="s">
        <v>268</v>
      </c>
      <c r="B115" s="9">
        <f>(B113)+(B114)</f>
        <v>-106.69999999999999</v>
      </c>
    </row>
    <row r="116" spans="1:2" ht="15" customHeight="1" x14ac:dyDescent="0.25">
      <c r="A116" s="3" t="s">
        <v>97</v>
      </c>
      <c r="B116" s="9">
        <f>((((((((B101)+(B102))+(B103))+(B106))+(B107))+(B109))+(B111))+(B112))+(B115)+B108+B110</f>
        <v>3173.8</v>
      </c>
    </row>
    <row r="117" spans="1:2" ht="15" customHeight="1" x14ac:dyDescent="0.25">
      <c r="A117" s="3" t="s">
        <v>99</v>
      </c>
      <c r="B117" s="9">
        <f>((B99)+(B100))+(B116)</f>
        <v>4016.82</v>
      </c>
    </row>
    <row r="118" spans="1:2" ht="15" customHeight="1" x14ac:dyDescent="0.25">
      <c r="A118" s="3" t="s">
        <v>100</v>
      </c>
      <c r="B118" s="5">
        <v>0</v>
      </c>
    </row>
    <row r="119" spans="1:2" ht="15" customHeight="1" x14ac:dyDescent="0.25">
      <c r="A119" s="3" t="s">
        <v>101</v>
      </c>
      <c r="B119" s="5">
        <v>347.68</v>
      </c>
    </row>
    <row r="120" spans="1:2" ht="15" customHeight="1" x14ac:dyDescent="0.25">
      <c r="A120" s="3" t="s">
        <v>102</v>
      </c>
      <c r="B120" s="9">
        <f>(B118)+(B119)</f>
        <v>347.68</v>
      </c>
    </row>
    <row r="121" spans="1:2" ht="15" customHeight="1" x14ac:dyDescent="0.25">
      <c r="A121" s="3" t="s">
        <v>103</v>
      </c>
      <c r="B121" s="9">
        <f>((B98)+(B117))+(B120)</f>
        <v>4364.5</v>
      </c>
    </row>
    <row r="122" spans="1:2" ht="15" customHeight="1" x14ac:dyDescent="0.25">
      <c r="A122" s="3" t="s">
        <v>104</v>
      </c>
      <c r="B122" s="5">
        <f>0</f>
        <v>0</v>
      </c>
    </row>
    <row r="123" spans="1:2" ht="14.25" hidden="1" customHeight="1" x14ac:dyDescent="0.25">
      <c r="A123" s="3" t="s">
        <v>105</v>
      </c>
      <c r="B123" s="5">
        <f>0</f>
        <v>0</v>
      </c>
    </row>
    <row r="124" spans="1:2" ht="15" hidden="1" customHeight="1" x14ac:dyDescent="0.25">
      <c r="A124" s="3" t="s">
        <v>167</v>
      </c>
      <c r="B124" s="5">
        <f>843.02</f>
        <v>843.02</v>
      </c>
    </row>
    <row r="125" spans="1:2" ht="15" hidden="1" customHeight="1" x14ac:dyDescent="0.25">
      <c r="A125" s="3" t="s">
        <v>106</v>
      </c>
      <c r="B125" s="5">
        <f>0</f>
        <v>0</v>
      </c>
    </row>
    <row r="126" spans="1:2" ht="15" hidden="1" customHeight="1" x14ac:dyDescent="0.25">
      <c r="A126" s="3" t="s">
        <v>264</v>
      </c>
      <c r="B126" s="5">
        <v>0</v>
      </c>
    </row>
    <row r="127" spans="1:2" ht="15" hidden="1" customHeight="1" x14ac:dyDescent="0.25">
      <c r="A127" s="3" t="s">
        <v>107</v>
      </c>
      <c r="B127" s="5">
        <v>0</v>
      </c>
    </row>
    <row r="128" spans="1:2" ht="15" hidden="1" customHeight="1" x14ac:dyDescent="0.25">
      <c r="A128" s="3" t="s">
        <v>108</v>
      </c>
      <c r="B128" s="5">
        <v>0</v>
      </c>
    </row>
    <row r="129" spans="1:2" ht="15" hidden="1" customHeight="1" x14ac:dyDescent="0.25">
      <c r="A129" s="3" t="s">
        <v>286</v>
      </c>
      <c r="B129" s="11">
        <v>0</v>
      </c>
    </row>
    <row r="130" spans="1:2" ht="15" hidden="1" customHeight="1" x14ac:dyDescent="0.25">
      <c r="A130" s="3" t="s">
        <v>287</v>
      </c>
      <c r="B130" s="27">
        <f>B128+B129</f>
        <v>0</v>
      </c>
    </row>
    <row r="131" spans="1:2" ht="15" hidden="1" customHeight="1" x14ac:dyDescent="0.25">
      <c r="A131" s="3" t="s">
        <v>109</v>
      </c>
      <c r="B131" s="5">
        <v>350</v>
      </c>
    </row>
    <row r="132" spans="1:2" ht="15" hidden="1" customHeight="1" x14ac:dyDescent="0.25">
      <c r="A132" s="3" t="s">
        <v>263</v>
      </c>
      <c r="B132" s="11">
        <v>0</v>
      </c>
    </row>
    <row r="133" spans="1:2" ht="15" hidden="1" customHeight="1" x14ac:dyDescent="0.25">
      <c r="A133" s="3" t="s">
        <v>265</v>
      </c>
      <c r="B133" s="12">
        <f>B131+B132</f>
        <v>350</v>
      </c>
    </row>
    <row r="134" spans="1:2" ht="15" hidden="1" customHeight="1" x14ac:dyDescent="0.25">
      <c r="A134" s="13" t="s">
        <v>266</v>
      </c>
      <c r="B134" s="5">
        <v>0</v>
      </c>
    </row>
    <row r="135" spans="1:2" ht="15" hidden="1" customHeight="1" x14ac:dyDescent="0.25">
      <c r="A135" s="3" t="s">
        <v>111</v>
      </c>
      <c r="B135" s="5">
        <v>0</v>
      </c>
    </row>
    <row r="136" spans="1:2" ht="15" hidden="1" customHeight="1" x14ac:dyDescent="0.25">
      <c r="A136" s="3" t="s">
        <v>112</v>
      </c>
      <c r="B136" s="9">
        <f>(B134)+(B135)</f>
        <v>0</v>
      </c>
    </row>
    <row r="137" spans="1:2" ht="15" hidden="1" customHeight="1" x14ac:dyDescent="0.25">
      <c r="A137" s="3" t="s">
        <v>113</v>
      </c>
      <c r="B137" s="5">
        <v>200</v>
      </c>
    </row>
    <row r="138" spans="1:2" ht="15" hidden="1" customHeight="1" x14ac:dyDescent="0.25">
      <c r="A138" s="3" t="s">
        <v>114</v>
      </c>
      <c r="B138" s="5">
        <v>0</v>
      </c>
    </row>
    <row r="139" spans="1:2" ht="15" hidden="1" customHeight="1" x14ac:dyDescent="0.25">
      <c r="A139" s="3" t="s">
        <v>115</v>
      </c>
      <c r="B139" s="9">
        <f>((((((B125)+(B127))+(B128))+(B131))+(B137))+(B138)+B132+B134+B135+B126)+B129</f>
        <v>550</v>
      </c>
    </row>
    <row r="140" spans="1:2" ht="15" customHeight="1" x14ac:dyDescent="0.25">
      <c r="A140" s="3" t="s">
        <v>116</v>
      </c>
      <c r="B140" s="9">
        <f>((B123)+(B124))+(B139)</f>
        <v>1393.02</v>
      </c>
    </row>
    <row r="141" spans="1:2" ht="15" customHeight="1" x14ac:dyDescent="0.25">
      <c r="A141" s="3" t="s">
        <v>117</v>
      </c>
      <c r="B141" s="5">
        <f>0</f>
        <v>0</v>
      </c>
    </row>
    <row r="142" spans="1:2" ht="15" customHeight="1" x14ac:dyDescent="0.25">
      <c r="A142" s="3" t="s">
        <v>118</v>
      </c>
      <c r="B142" s="5">
        <v>0</v>
      </c>
    </row>
    <row r="143" spans="1:2" ht="15" customHeight="1" x14ac:dyDescent="0.25">
      <c r="A143" s="3" t="s">
        <v>119</v>
      </c>
      <c r="B143" s="9">
        <f>(B141)+(B142)</f>
        <v>0</v>
      </c>
    </row>
    <row r="144" spans="1:2" ht="15" customHeight="1" x14ac:dyDescent="0.25">
      <c r="A144" s="3" t="s">
        <v>120</v>
      </c>
      <c r="B144" s="5">
        <v>2162.5</v>
      </c>
    </row>
    <row r="145" spans="1:2" ht="15" customHeight="1" x14ac:dyDescent="0.25">
      <c r="A145" s="3" t="s">
        <v>121</v>
      </c>
      <c r="B145" s="9">
        <f>(((B122)+(B140))+(B143))+(B144)</f>
        <v>3555.52</v>
      </c>
    </row>
    <row r="146" spans="1:2" ht="15" customHeight="1" x14ac:dyDescent="0.25">
      <c r="A146" s="3" t="s">
        <v>122</v>
      </c>
      <c r="B146" s="5">
        <f>0</f>
        <v>0</v>
      </c>
    </row>
    <row r="147" spans="1:2" ht="15" hidden="1" customHeight="1" x14ac:dyDescent="0.25">
      <c r="A147" s="3" t="s">
        <v>123</v>
      </c>
      <c r="B147" s="5">
        <f>0</f>
        <v>0</v>
      </c>
    </row>
    <row r="148" spans="1:2" ht="15" hidden="1" customHeight="1" x14ac:dyDescent="0.25">
      <c r="A148" s="3" t="s">
        <v>168</v>
      </c>
      <c r="B148" s="5">
        <f>843.02</f>
        <v>843.02</v>
      </c>
    </row>
    <row r="149" spans="1:2" ht="15" hidden="1" customHeight="1" x14ac:dyDescent="0.25">
      <c r="A149" s="3" t="s">
        <v>124</v>
      </c>
      <c r="B149" s="5">
        <f>0</f>
        <v>0</v>
      </c>
    </row>
    <row r="150" spans="1:2" ht="15" hidden="1" customHeight="1" x14ac:dyDescent="0.25">
      <c r="A150" s="13" t="s">
        <v>288</v>
      </c>
      <c r="B150" s="5">
        <v>0</v>
      </c>
    </row>
    <row r="151" spans="1:2" ht="15" hidden="1" customHeight="1" x14ac:dyDescent="0.25">
      <c r="A151" s="3" t="s">
        <v>269</v>
      </c>
      <c r="B151" s="5">
        <v>0</v>
      </c>
    </row>
    <row r="152" spans="1:2" ht="15" hidden="1" customHeight="1" x14ac:dyDescent="0.25">
      <c r="A152" s="3" t="s">
        <v>125</v>
      </c>
      <c r="B152" s="5">
        <v>0</v>
      </c>
    </row>
    <row r="153" spans="1:2" ht="15" hidden="1" customHeight="1" x14ac:dyDescent="0.25">
      <c r="A153" s="3" t="s">
        <v>126</v>
      </c>
      <c r="B153" s="5">
        <v>0</v>
      </c>
    </row>
    <row r="154" spans="1:2" ht="15" hidden="1" customHeight="1" x14ac:dyDescent="0.25">
      <c r="A154" s="3" t="s">
        <v>127</v>
      </c>
      <c r="B154" s="5">
        <v>0</v>
      </c>
    </row>
    <row r="155" spans="1:2" ht="15" hidden="1" customHeight="1" x14ac:dyDescent="0.25">
      <c r="A155" s="3" t="s">
        <v>128</v>
      </c>
      <c r="B155" s="9">
        <f>(B153)+(B154)</f>
        <v>0</v>
      </c>
    </row>
    <row r="156" spans="1:2" ht="15" hidden="1" customHeight="1" x14ac:dyDescent="0.25">
      <c r="A156" s="3" t="s">
        <v>129</v>
      </c>
      <c r="B156" s="5">
        <v>0</v>
      </c>
    </row>
    <row r="157" spans="1:2" ht="15" hidden="1" customHeight="1" x14ac:dyDescent="0.25">
      <c r="A157" s="13" t="s">
        <v>289</v>
      </c>
      <c r="B157" s="11">
        <v>0</v>
      </c>
    </row>
    <row r="158" spans="1:2" ht="15" hidden="1" customHeight="1" x14ac:dyDescent="0.25">
      <c r="A158" s="13" t="s">
        <v>290</v>
      </c>
      <c r="B158" s="27">
        <f>B156+B157</f>
        <v>0</v>
      </c>
    </row>
    <row r="159" spans="1:2" ht="15" hidden="1" customHeight="1" x14ac:dyDescent="0.25">
      <c r="A159" s="3" t="s">
        <v>130</v>
      </c>
      <c r="B159" s="5">
        <v>0</v>
      </c>
    </row>
    <row r="160" spans="1:2" ht="15" hidden="1" customHeight="1" x14ac:dyDescent="0.25">
      <c r="A160" s="3" t="s">
        <v>131</v>
      </c>
      <c r="B160" s="5">
        <v>0</v>
      </c>
    </row>
    <row r="161" spans="1:2" ht="15" hidden="1" customHeight="1" x14ac:dyDescent="0.25">
      <c r="A161" s="3" t="s">
        <v>169</v>
      </c>
      <c r="B161" s="5">
        <v>0</v>
      </c>
    </row>
    <row r="162" spans="1:2" ht="15" hidden="1" customHeight="1" x14ac:dyDescent="0.25">
      <c r="A162" s="3" t="s">
        <v>132</v>
      </c>
      <c r="B162" s="5">
        <v>246.55</v>
      </c>
    </row>
    <row r="163" spans="1:2" ht="15" hidden="1" customHeight="1" x14ac:dyDescent="0.25">
      <c r="A163" s="3" t="s">
        <v>170</v>
      </c>
      <c r="B163" s="9">
        <f>(B161)+(B162)</f>
        <v>246.55</v>
      </c>
    </row>
    <row r="164" spans="1:2" ht="15" hidden="1" customHeight="1" x14ac:dyDescent="0.25">
      <c r="A164" s="3" t="s">
        <v>134</v>
      </c>
      <c r="B164" s="9">
        <f>((((((B149)+(B152))+(B155))+(B156))+(B159))+(B160))+(B163)+B151+B157+B150</f>
        <v>246.55</v>
      </c>
    </row>
    <row r="165" spans="1:2" ht="15" customHeight="1" x14ac:dyDescent="0.25">
      <c r="A165" s="3" t="s">
        <v>135</v>
      </c>
      <c r="B165" s="9">
        <f>((B147)+(B148))+(B164)</f>
        <v>1089.57</v>
      </c>
    </row>
    <row r="166" spans="1:2" ht="15" customHeight="1" x14ac:dyDescent="0.25">
      <c r="A166" s="3" t="s">
        <v>299</v>
      </c>
      <c r="B166" s="9"/>
    </row>
    <row r="167" spans="1:2" ht="15" customHeight="1" x14ac:dyDescent="0.25">
      <c r="A167" s="3" t="s">
        <v>300</v>
      </c>
      <c r="B167" s="9">
        <v>2497</v>
      </c>
    </row>
    <row r="168" spans="1:2" ht="15" customHeight="1" x14ac:dyDescent="0.25">
      <c r="A168" s="3" t="s">
        <v>301</v>
      </c>
      <c r="B168" s="9">
        <f>B167</f>
        <v>2497</v>
      </c>
    </row>
    <row r="169" spans="1:2" ht="15" customHeight="1" x14ac:dyDescent="0.25">
      <c r="A169" s="3" t="s">
        <v>137</v>
      </c>
      <c r="B169" s="9">
        <f>(B146)+(B165)+B168</f>
        <v>3586.5699999999997</v>
      </c>
    </row>
    <row r="170" spans="1:2" ht="15" customHeight="1" x14ac:dyDescent="0.25">
      <c r="A170" s="3" t="s">
        <v>138</v>
      </c>
      <c r="B170" s="5">
        <f>0</f>
        <v>0</v>
      </c>
    </row>
    <row r="171" spans="1:2" ht="15" hidden="1" customHeight="1" x14ac:dyDescent="0.25">
      <c r="A171" s="3" t="s">
        <v>139</v>
      </c>
      <c r="B171" s="5">
        <f>0</f>
        <v>0</v>
      </c>
    </row>
    <row r="172" spans="1:2" ht="15" hidden="1" customHeight="1" x14ac:dyDescent="0.25">
      <c r="A172" s="3" t="s">
        <v>140</v>
      </c>
      <c r="B172" s="5">
        <v>1030</v>
      </c>
    </row>
    <row r="173" spans="1:2" ht="15" customHeight="1" x14ac:dyDescent="0.25">
      <c r="A173" s="3" t="s">
        <v>141</v>
      </c>
      <c r="B173" s="9">
        <f>(B171)+(B172)</f>
        <v>1030</v>
      </c>
    </row>
    <row r="174" spans="1:2" ht="15" customHeight="1" x14ac:dyDescent="0.25">
      <c r="A174" s="3" t="s">
        <v>142</v>
      </c>
      <c r="B174" s="5">
        <f>0</f>
        <v>0</v>
      </c>
    </row>
    <row r="175" spans="1:2" ht="15" customHeight="1" x14ac:dyDescent="0.25">
      <c r="A175" s="3" t="s">
        <v>143</v>
      </c>
      <c r="B175" s="5">
        <v>0</v>
      </c>
    </row>
    <row r="176" spans="1:2" ht="15" customHeight="1" x14ac:dyDescent="0.25">
      <c r="A176" s="3" t="s">
        <v>270</v>
      </c>
      <c r="B176" s="5">
        <v>294.19</v>
      </c>
    </row>
    <row r="177" spans="1:2" ht="15" customHeight="1" x14ac:dyDescent="0.25">
      <c r="A177" s="3" t="s">
        <v>145</v>
      </c>
      <c r="B177" s="5">
        <v>0</v>
      </c>
    </row>
    <row r="178" spans="1:2" ht="15" customHeight="1" x14ac:dyDescent="0.25">
      <c r="A178" s="3" t="s">
        <v>146</v>
      </c>
      <c r="B178" s="5">
        <v>1808.33</v>
      </c>
    </row>
    <row r="179" spans="1:2" ht="15" customHeight="1" x14ac:dyDescent="0.25">
      <c r="A179" s="3" t="s">
        <v>147</v>
      </c>
      <c r="B179" s="5">
        <v>2028.83</v>
      </c>
    </row>
    <row r="180" spans="1:2" ht="15" customHeight="1" x14ac:dyDescent="0.25">
      <c r="A180" s="3" t="s">
        <v>148</v>
      </c>
      <c r="B180" s="5">
        <v>1012.72</v>
      </c>
    </row>
    <row r="181" spans="1:2" ht="15" customHeight="1" x14ac:dyDescent="0.25">
      <c r="A181" s="3" t="s">
        <v>149</v>
      </c>
      <c r="B181" s="9">
        <f>(((B174)+(B178))+(B179))+(B180)+B176+B175+B177</f>
        <v>5144.07</v>
      </c>
    </row>
    <row r="182" spans="1:2" ht="15" customHeight="1" x14ac:dyDescent="0.25">
      <c r="A182" s="3" t="s">
        <v>150</v>
      </c>
      <c r="B182" s="14">
        <v>21.58</v>
      </c>
    </row>
    <row r="183" spans="1:2" ht="15" customHeight="1" x14ac:dyDescent="0.25">
      <c r="A183" s="3" t="s">
        <v>151</v>
      </c>
      <c r="B183" s="9">
        <f>((B170)+(B173))+(B181)+B182</f>
        <v>6195.65</v>
      </c>
    </row>
    <row r="184" spans="1:2" ht="15" hidden="1" customHeight="1" x14ac:dyDescent="0.25">
      <c r="A184" s="3" t="s">
        <v>154</v>
      </c>
      <c r="B184" s="5">
        <f>-10170.91</f>
        <v>-10170.91</v>
      </c>
    </row>
    <row r="185" spans="1:2" ht="15" hidden="1" customHeight="1" x14ac:dyDescent="0.25">
      <c r="A185" s="3" t="s">
        <v>155</v>
      </c>
      <c r="B185" s="5">
        <f>59.1</f>
        <v>59.1</v>
      </c>
    </row>
    <row r="186" spans="1:2" ht="15" hidden="1" customHeight="1" x14ac:dyDescent="0.25">
      <c r="A186" s="3" t="s">
        <v>156</v>
      </c>
      <c r="B186" s="5">
        <f>10111.81</f>
        <v>10111.81</v>
      </c>
    </row>
    <row r="187" spans="1:2" ht="15" customHeight="1" x14ac:dyDescent="0.25">
      <c r="A187" s="13" t="s">
        <v>152</v>
      </c>
      <c r="B187" s="5"/>
    </row>
    <row r="188" spans="1:2" ht="15" customHeight="1" x14ac:dyDescent="0.25">
      <c r="A188" s="17" t="s">
        <v>279</v>
      </c>
      <c r="B188" s="18">
        <v>300</v>
      </c>
    </row>
    <row r="189" spans="1:2" ht="15" customHeight="1" x14ac:dyDescent="0.35">
      <c r="A189" s="13" t="s">
        <v>280</v>
      </c>
      <c r="B189" s="16">
        <f>B188</f>
        <v>300</v>
      </c>
    </row>
    <row r="190" spans="1:2" ht="15" customHeight="1" x14ac:dyDescent="0.25">
      <c r="A190" s="13" t="s">
        <v>153</v>
      </c>
      <c r="B190" s="15">
        <v>0</v>
      </c>
    </row>
    <row r="191" spans="1:2" ht="15" customHeight="1" x14ac:dyDescent="0.25">
      <c r="A191" s="13" t="s">
        <v>281</v>
      </c>
      <c r="B191" s="19">
        <v>10000</v>
      </c>
    </row>
    <row r="192" spans="1:2" ht="15" customHeight="1" x14ac:dyDescent="0.25">
      <c r="A192" s="3" t="s">
        <v>157</v>
      </c>
      <c r="B192" s="9">
        <f>((B184)+(B185))+(B186)</f>
        <v>0</v>
      </c>
    </row>
    <row r="193" spans="1:2" ht="15" customHeight="1" x14ac:dyDescent="0.25">
      <c r="A193" s="3" t="s">
        <v>158</v>
      </c>
      <c r="B193" s="9">
        <f>(((((B97)+(B121))+(B145))+(B169))+(B183))+(B192)+B189+B191</f>
        <v>34326.68</v>
      </c>
    </row>
    <row r="194" spans="1:2" ht="15" customHeight="1" x14ac:dyDescent="0.25">
      <c r="A194" s="3" t="s">
        <v>159</v>
      </c>
      <c r="B194" s="9">
        <f>(B81)-(B193)</f>
        <v>-3270.669999999991</v>
      </c>
    </row>
    <row r="195" spans="1:2" ht="15" customHeight="1" x14ac:dyDescent="0.25">
      <c r="A195" s="3" t="s">
        <v>160</v>
      </c>
      <c r="B195" s="9">
        <f>(B194)+(0)</f>
        <v>-3270.669999999991</v>
      </c>
    </row>
  </sheetData>
  <mergeCells count="3">
    <mergeCell ref="A1:B1"/>
    <mergeCell ref="A2:B2"/>
    <mergeCell ref="A3:B3"/>
  </mergeCells>
  <phoneticPr fontId="6" type="noConversion"/>
  <pageMargins left="0.7" right="0.7" top="0.75" bottom="0.75" header="0.3" footer="0.3"/>
  <pageSetup orientation="portrait" horizontalDpi="4294967293" verticalDpi="0" r:id="rId1"/>
  <ignoredErrors>
    <ignoredError sqref="B124 B100 B1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3"/>
  <sheetViews>
    <sheetView topLeftCell="A178" workbookViewId="0">
      <selection activeCell="B191" sqref="B191"/>
    </sheetView>
  </sheetViews>
  <sheetFormatPr defaultRowHeight="15" x14ac:dyDescent="0.25"/>
  <cols>
    <col min="1" max="1" width="42.140625" customWidth="1"/>
    <col min="2" max="7" width="12" customWidth="1"/>
    <col min="10" max="10" width="10.5703125" bestFit="1" customWidth="1"/>
  </cols>
  <sheetData>
    <row r="1" spans="1:7" ht="18" x14ac:dyDescent="0.25">
      <c r="A1" s="28" t="s">
        <v>161</v>
      </c>
      <c r="B1" s="33"/>
      <c r="C1" s="33"/>
      <c r="D1" s="33"/>
      <c r="E1" s="33"/>
      <c r="F1" s="33"/>
      <c r="G1" s="33"/>
    </row>
    <row r="2" spans="1:7" x14ac:dyDescent="0.25">
      <c r="A2" s="34" t="s">
        <v>302</v>
      </c>
      <c r="B2" s="33"/>
      <c r="C2" s="33"/>
      <c r="D2" s="33"/>
      <c r="E2" s="33"/>
      <c r="F2" s="33"/>
      <c r="G2" s="33"/>
    </row>
    <row r="4" spans="1:7" x14ac:dyDescent="0.25">
      <c r="A4" s="1"/>
      <c r="B4" s="31" t="s">
        <v>0</v>
      </c>
      <c r="C4" s="32"/>
      <c r="D4" s="32"/>
      <c r="E4" s="32"/>
      <c r="F4" s="32"/>
      <c r="G4" s="32"/>
    </row>
    <row r="5" spans="1:7" x14ac:dyDescent="0.25">
      <c r="A5" s="1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</row>
    <row r="6" spans="1:7" x14ac:dyDescent="0.25">
      <c r="A6" s="3" t="s">
        <v>7</v>
      </c>
      <c r="B6" s="4"/>
      <c r="C6" s="4"/>
      <c r="D6" s="4"/>
      <c r="E6" s="4"/>
      <c r="F6" s="4"/>
      <c r="G6" s="4"/>
    </row>
    <row r="7" spans="1:7" x14ac:dyDescent="0.25">
      <c r="A7" s="3" t="s">
        <v>8</v>
      </c>
      <c r="B7" s="4"/>
      <c r="C7" s="5">
        <f>244767.84</f>
        <v>244767.84</v>
      </c>
      <c r="D7" s="5">
        <f t="shared" ref="D7:D46" si="0">(B7)-(C7)</f>
        <v>-244767.84</v>
      </c>
      <c r="E7" s="5">
        <f t="shared" ref="E7:E46" si="1">(C7)-(B7)</f>
        <v>244767.84</v>
      </c>
      <c r="F7" s="6">
        <f t="shared" ref="F7:F46" si="2">IF(C7=0,"",(B7)/(C7))</f>
        <v>0</v>
      </c>
      <c r="G7" s="6">
        <f t="shared" ref="G7:G46" si="3">IF(C7=0,"",(E7)/(C7))</f>
        <v>1</v>
      </c>
    </row>
    <row r="8" spans="1:7" x14ac:dyDescent="0.25">
      <c r="A8" s="3" t="s">
        <v>256</v>
      </c>
      <c r="B8" s="4">
        <v>16000</v>
      </c>
      <c r="C8" s="5"/>
      <c r="D8" s="5">
        <f t="shared" si="0"/>
        <v>16000</v>
      </c>
      <c r="E8" s="5">
        <f t="shared" si="1"/>
        <v>-16000</v>
      </c>
      <c r="F8" s="6"/>
      <c r="G8" s="6"/>
    </row>
    <row r="9" spans="1:7" x14ac:dyDescent="0.25">
      <c r="A9" s="3" t="s">
        <v>9</v>
      </c>
      <c r="B9" s="5">
        <v>922</v>
      </c>
      <c r="C9" s="4"/>
      <c r="D9" s="5">
        <f t="shared" si="0"/>
        <v>922</v>
      </c>
      <c r="E9" s="5">
        <f t="shared" si="1"/>
        <v>-922</v>
      </c>
      <c r="F9" s="6" t="str">
        <f t="shared" si="2"/>
        <v/>
      </c>
      <c r="G9" s="6" t="str">
        <f t="shared" si="3"/>
        <v/>
      </c>
    </row>
    <row r="10" spans="1:7" x14ac:dyDescent="0.25">
      <c r="A10" s="3" t="s">
        <v>10</v>
      </c>
      <c r="B10" s="5">
        <v>4325.3</v>
      </c>
      <c r="C10" s="4"/>
      <c r="D10" s="5">
        <f t="shared" si="0"/>
        <v>4325.3</v>
      </c>
      <c r="E10" s="5">
        <f t="shared" si="1"/>
        <v>-4325.3</v>
      </c>
      <c r="F10" s="6" t="str">
        <f t="shared" si="2"/>
        <v/>
      </c>
      <c r="G10" s="6" t="str">
        <f t="shared" si="3"/>
        <v/>
      </c>
    </row>
    <row r="11" spans="1:7" x14ac:dyDescent="0.25">
      <c r="A11" s="3" t="s">
        <v>277</v>
      </c>
      <c r="B11" s="5">
        <v>7679.97</v>
      </c>
      <c r="C11" s="4"/>
      <c r="D11" s="5">
        <f t="shared" si="0"/>
        <v>7679.97</v>
      </c>
      <c r="E11" s="5">
        <f t="shared" si="1"/>
        <v>-7679.97</v>
      </c>
      <c r="F11" s="6"/>
      <c r="G11" s="6"/>
    </row>
    <row r="12" spans="1:7" x14ac:dyDescent="0.25">
      <c r="A12" s="3" t="s">
        <v>291</v>
      </c>
      <c r="B12" s="5">
        <v>1000</v>
      </c>
      <c r="C12" s="4"/>
      <c r="D12" s="5">
        <f t="shared" si="0"/>
        <v>1000</v>
      </c>
      <c r="E12" s="5">
        <f t="shared" si="1"/>
        <v>-1000</v>
      </c>
      <c r="F12" s="6"/>
      <c r="G12" s="6"/>
    </row>
    <row r="13" spans="1:7" x14ac:dyDescent="0.25">
      <c r="A13" s="3" t="s">
        <v>11</v>
      </c>
      <c r="B13" s="5">
        <v>199.05</v>
      </c>
      <c r="C13" s="4"/>
      <c r="D13" s="5">
        <f t="shared" si="0"/>
        <v>199.05</v>
      </c>
      <c r="E13" s="5">
        <f t="shared" si="1"/>
        <v>-199.05</v>
      </c>
      <c r="F13" s="6" t="str">
        <f t="shared" si="2"/>
        <v/>
      </c>
      <c r="G13" s="6" t="str">
        <f t="shared" si="3"/>
        <v/>
      </c>
    </row>
    <row r="14" spans="1:7" x14ac:dyDescent="0.25">
      <c r="A14" s="3" t="s">
        <v>271</v>
      </c>
      <c r="B14" s="5">
        <v>953.6</v>
      </c>
      <c r="C14" s="4"/>
      <c r="D14" s="5">
        <f t="shared" si="0"/>
        <v>953.6</v>
      </c>
      <c r="E14" s="5">
        <f t="shared" si="1"/>
        <v>-953.6</v>
      </c>
      <c r="F14" s="6"/>
      <c r="G14" s="6"/>
    </row>
    <row r="15" spans="1:7" x14ac:dyDescent="0.25">
      <c r="A15" s="3" t="s">
        <v>12</v>
      </c>
      <c r="B15" s="5">
        <v>1500</v>
      </c>
      <c r="C15" s="4"/>
      <c r="D15" s="5">
        <f t="shared" si="0"/>
        <v>1500</v>
      </c>
      <c r="E15" s="5">
        <f t="shared" si="1"/>
        <v>-1500</v>
      </c>
      <c r="F15" s="6" t="str">
        <f t="shared" si="2"/>
        <v/>
      </c>
      <c r="G15" s="6" t="str">
        <f t="shared" si="3"/>
        <v/>
      </c>
    </row>
    <row r="16" spans="1:7" x14ac:dyDescent="0.25">
      <c r="A16" s="3" t="s">
        <v>13</v>
      </c>
      <c r="B16" s="5">
        <v>900</v>
      </c>
      <c r="C16" s="4"/>
      <c r="D16" s="5">
        <f t="shared" si="0"/>
        <v>900</v>
      </c>
      <c r="E16" s="5">
        <f t="shared" si="1"/>
        <v>-900</v>
      </c>
      <c r="F16" s="6" t="str">
        <f t="shared" si="2"/>
        <v/>
      </c>
      <c r="G16" s="6" t="str">
        <f t="shared" si="3"/>
        <v/>
      </c>
    </row>
    <row r="17" spans="1:7" x14ac:dyDescent="0.25">
      <c r="A17" s="3" t="s">
        <v>14</v>
      </c>
      <c r="B17" s="5">
        <v>4828.16</v>
      </c>
      <c r="C17" s="4"/>
      <c r="D17" s="5">
        <f t="shared" si="0"/>
        <v>4828.16</v>
      </c>
      <c r="E17" s="5">
        <f t="shared" si="1"/>
        <v>-4828.16</v>
      </c>
      <c r="F17" s="6" t="str">
        <f t="shared" si="2"/>
        <v/>
      </c>
      <c r="G17" s="6" t="str">
        <f t="shared" si="3"/>
        <v/>
      </c>
    </row>
    <row r="18" spans="1:7" x14ac:dyDescent="0.25">
      <c r="A18" s="3" t="s">
        <v>15</v>
      </c>
      <c r="B18" s="5">
        <v>200</v>
      </c>
      <c r="C18" s="4"/>
      <c r="D18" s="5">
        <f t="shared" si="0"/>
        <v>200</v>
      </c>
      <c r="E18" s="5">
        <f t="shared" si="1"/>
        <v>-200</v>
      </c>
      <c r="F18" s="6" t="str">
        <f t="shared" si="2"/>
        <v/>
      </c>
      <c r="G18" s="6" t="str">
        <f t="shared" si="3"/>
        <v/>
      </c>
    </row>
    <row r="19" spans="1:7" x14ac:dyDescent="0.25">
      <c r="A19" s="3" t="s">
        <v>16</v>
      </c>
      <c r="B19" s="5">
        <v>400</v>
      </c>
      <c r="C19" s="4"/>
      <c r="D19" s="5">
        <f t="shared" si="0"/>
        <v>400</v>
      </c>
      <c r="E19" s="5">
        <f t="shared" si="1"/>
        <v>-400</v>
      </c>
      <c r="F19" s="6" t="str">
        <f t="shared" si="2"/>
        <v/>
      </c>
      <c r="G19" s="6" t="str">
        <f t="shared" si="3"/>
        <v/>
      </c>
    </row>
    <row r="20" spans="1:7" x14ac:dyDescent="0.25">
      <c r="A20" s="3" t="s">
        <v>17</v>
      </c>
      <c r="B20" s="5">
        <v>1468</v>
      </c>
      <c r="C20" s="4"/>
      <c r="D20" s="5">
        <f t="shared" si="0"/>
        <v>1468</v>
      </c>
      <c r="E20" s="5">
        <f t="shared" si="1"/>
        <v>-1468</v>
      </c>
      <c r="F20" s="6" t="str">
        <f t="shared" si="2"/>
        <v/>
      </c>
      <c r="G20" s="6" t="str">
        <f t="shared" si="3"/>
        <v/>
      </c>
    </row>
    <row r="21" spans="1:7" x14ac:dyDescent="0.25">
      <c r="A21" s="3" t="s">
        <v>258</v>
      </c>
      <c r="B21" s="5">
        <v>4000</v>
      </c>
      <c r="C21" s="4"/>
      <c r="D21" s="5">
        <f t="shared" si="0"/>
        <v>4000</v>
      </c>
      <c r="E21" s="5">
        <f t="shared" si="1"/>
        <v>-4000</v>
      </c>
      <c r="F21" s="6" t="str">
        <f t="shared" si="2"/>
        <v/>
      </c>
      <c r="G21" s="6" t="str">
        <f t="shared" si="3"/>
        <v/>
      </c>
    </row>
    <row r="22" spans="1:7" x14ac:dyDescent="0.25">
      <c r="A22" s="3" t="s">
        <v>18</v>
      </c>
      <c r="B22" s="5">
        <v>11724.41</v>
      </c>
      <c r="C22" s="4"/>
      <c r="D22" s="5">
        <f t="shared" si="0"/>
        <v>11724.41</v>
      </c>
      <c r="E22" s="5">
        <f t="shared" si="1"/>
        <v>-11724.41</v>
      </c>
      <c r="F22" s="6" t="str">
        <f t="shared" si="2"/>
        <v/>
      </c>
      <c r="G22" s="6" t="str">
        <f t="shared" si="3"/>
        <v/>
      </c>
    </row>
    <row r="23" spans="1:7" x14ac:dyDescent="0.25">
      <c r="A23" s="3" t="s">
        <v>19</v>
      </c>
      <c r="B23" s="5">
        <v>1575</v>
      </c>
      <c r="C23" s="4"/>
      <c r="D23" s="5">
        <f t="shared" si="0"/>
        <v>1575</v>
      </c>
      <c r="E23" s="5">
        <f t="shared" si="1"/>
        <v>-1575</v>
      </c>
      <c r="F23" s="6" t="str">
        <f t="shared" si="2"/>
        <v/>
      </c>
      <c r="G23" s="6" t="str">
        <f t="shared" si="3"/>
        <v/>
      </c>
    </row>
    <row r="24" spans="1:7" x14ac:dyDescent="0.25">
      <c r="A24" s="3" t="s">
        <v>20</v>
      </c>
      <c r="B24" s="5">
        <f>1000</f>
        <v>1000</v>
      </c>
      <c r="C24" s="4"/>
      <c r="D24" s="5">
        <f t="shared" si="0"/>
        <v>1000</v>
      </c>
      <c r="E24" s="5">
        <f t="shared" si="1"/>
        <v>-1000</v>
      </c>
      <c r="F24" s="6" t="str">
        <f t="shared" si="2"/>
        <v/>
      </c>
      <c r="G24" s="6" t="str">
        <f t="shared" si="3"/>
        <v/>
      </c>
    </row>
    <row r="25" spans="1:7" x14ac:dyDescent="0.25">
      <c r="A25" s="3" t="s">
        <v>21</v>
      </c>
      <c r="B25" s="5">
        <v>160</v>
      </c>
      <c r="C25" s="4"/>
      <c r="D25" s="5">
        <f t="shared" si="0"/>
        <v>160</v>
      </c>
      <c r="E25" s="5">
        <f t="shared" si="1"/>
        <v>-160</v>
      </c>
      <c r="F25" s="6" t="str">
        <f t="shared" si="2"/>
        <v/>
      </c>
      <c r="G25" s="6" t="str">
        <f t="shared" si="3"/>
        <v/>
      </c>
    </row>
    <row r="26" spans="1:7" x14ac:dyDescent="0.25">
      <c r="A26" s="3" t="s">
        <v>22</v>
      </c>
      <c r="B26" s="5">
        <v>2188.98</v>
      </c>
      <c r="C26" s="4"/>
      <c r="D26" s="5">
        <f t="shared" si="0"/>
        <v>2188.98</v>
      </c>
      <c r="E26" s="5">
        <f t="shared" si="1"/>
        <v>-2188.98</v>
      </c>
      <c r="F26" s="6" t="str">
        <f t="shared" si="2"/>
        <v/>
      </c>
      <c r="G26" s="6" t="str">
        <f t="shared" si="3"/>
        <v/>
      </c>
    </row>
    <row r="27" spans="1:7" x14ac:dyDescent="0.25">
      <c r="A27" s="3" t="s">
        <v>259</v>
      </c>
      <c r="B27" s="5">
        <v>1666.64</v>
      </c>
      <c r="C27" s="4"/>
      <c r="D27" s="5">
        <f t="shared" si="0"/>
        <v>1666.64</v>
      </c>
      <c r="E27" s="5">
        <f t="shared" si="1"/>
        <v>-1666.64</v>
      </c>
      <c r="F27" s="6"/>
      <c r="G27" s="6"/>
    </row>
    <row r="28" spans="1:7" x14ac:dyDescent="0.25">
      <c r="A28" s="3" t="s">
        <v>23</v>
      </c>
      <c r="B28" s="5">
        <v>1875</v>
      </c>
      <c r="C28" s="4"/>
      <c r="D28" s="5">
        <f t="shared" si="0"/>
        <v>1875</v>
      </c>
      <c r="E28" s="5">
        <f t="shared" si="1"/>
        <v>-1875</v>
      </c>
      <c r="F28" s="6" t="str">
        <f t="shared" si="2"/>
        <v/>
      </c>
      <c r="G28" s="6" t="str">
        <f t="shared" si="3"/>
        <v/>
      </c>
    </row>
    <row r="29" spans="1:7" x14ac:dyDescent="0.25">
      <c r="A29" s="3" t="s">
        <v>24</v>
      </c>
      <c r="B29" s="5">
        <v>2100</v>
      </c>
      <c r="C29" s="4"/>
      <c r="D29" s="5">
        <f t="shared" si="0"/>
        <v>2100</v>
      </c>
      <c r="E29" s="5">
        <f t="shared" si="1"/>
        <v>-2100</v>
      </c>
      <c r="F29" s="6" t="str">
        <f t="shared" si="2"/>
        <v/>
      </c>
      <c r="G29" s="6" t="str">
        <f t="shared" si="3"/>
        <v/>
      </c>
    </row>
    <row r="30" spans="1:7" x14ac:dyDescent="0.25">
      <c r="A30" s="3" t="s">
        <v>25</v>
      </c>
      <c r="B30" s="5">
        <v>8173.51</v>
      </c>
      <c r="C30" s="4"/>
      <c r="D30" s="5">
        <f t="shared" si="0"/>
        <v>8173.51</v>
      </c>
      <c r="E30" s="5">
        <f t="shared" si="1"/>
        <v>-8173.51</v>
      </c>
      <c r="F30" s="6" t="str">
        <f t="shared" si="2"/>
        <v/>
      </c>
      <c r="G30" s="6" t="str">
        <f t="shared" si="3"/>
        <v/>
      </c>
    </row>
    <row r="31" spans="1:7" x14ac:dyDescent="0.25">
      <c r="A31" s="3" t="s">
        <v>26</v>
      </c>
      <c r="B31" s="5">
        <v>1600</v>
      </c>
      <c r="C31" s="4"/>
      <c r="D31" s="5">
        <f t="shared" si="0"/>
        <v>1600</v>
      </c>
      <c r="E31" s="5">
        <f t="shared" si="1"/>
        <v>-1600</v>
      </c>
      <c r="F31" s="6" t="str">
        <f t="shared" si="2"/>
        <v/>
      </c>
      <c r="G31" s="6" t="str">
        <f t="shared" si="3"/>
        <v/>
      </c>
    </row>
    <row r="32" spans="1:7" x14ac:dyDescent="0.25">
      <c r="A32" s="3" t="s">
        <v>292</v>
      </c>
      <c r="B32" s="5">
        <v>250</v>
      </c>
      <c r="C32" s="4"/>
      <c r="D32" s="5">
        <f t="shared" si="0"/>
        <v>250</v>
      </c>
      <c r="E32" s="5">
        <f t="shared" si="1"/>
        <v>-250</v>
      </c>
      <c r="F32" s="6" t="str">
        <f t="shared" si="2"/>
        <v/>
      </c>
      <c r="G32" s="6" t="str">
        <f t="shared" si="3"/>
        <v/>
      </c>
    </row>
    <row r="33" spans="1:7" x14ac:dyDescent="0.25">
      <c r="A33" s="3" t="s">
        <v>27</v>
      </c>
      <c r="B33" s="5">
        <f>1261.18</f>
        <v>1261.18</v>
      </c>
      <c r="C33" s="4"/>
      <c r="D33" s="5">
        <f t="shared" si="0"/>
        <v>1261.18</v>
      </c>
      <c r="E33" s="5">
        <f t="shared" si="1"/>
        <v>-1261.18</v>
      </c>
      <c r="F33" s="6" t="str">
        <f t="shared" si="2"/>
        <v/>
      </c>
      <c r="G33" s="6" t="str">
        <f t="shared" si="3"/>
        <v/>
      </c>
    </row>
    <row r="34" spans="1:7" x14ac:dyDescent="0.25">
      <c r="A34" s="3" t="s">
        <v>28</v>
      </c>
      <c r="B34" s="5">
        <v>800</v>
      </c>
      <c r="C34" s="4"/>
      <c r="D34" s="5">
        <f t="shared" si="0"/>
        <v>800</v>
      </c>
      <c r="E34" s="5">
        <f t="shared" si="1"/>
        <v>-800</v>
      </c>
      <c r="F34" s="6" t="str">
        <f t="shared" si="2"/>
        <v/>
      </c>
      <c r="G34" s="6" t="str">
        <f t="shared" si="3"/>
        <v/>
      </c>
    </row>
    <row r="35" spans="1:7" x14ac:dyDescent="0.25">
      <c r="A35" s="3" t="s">
        <v>29</v>
      </c>
      <c r="B35" s="5">
        <v>1400</v>
      </c>
      <c r="C35" s="4"/>
      <c r="D35" s="5">
        <f t="shared" si="0"/>
        <v>1400</v>
      </c>
      <c r="E35" s="5">
        <f t="shared" si="1"/>
        <v>-1400</v>
      </c>
      <c r="F35" s="6" t="str">
        <f t="shared" si="2"/>
        <v/>
      </c>
      <c r="G35" s="6" t="str">
        <f t="shared" si="3"/>
        <v/>
      </c>
    </row>
    <row r="36" spans="1:7" x14ac:dyDescent="0.25">
      <c r="A36" s="3" t="s">
        <v>30</v>
      </c>
      <c r="B36" s="5">
        <v>4047</v>
      </c>
      <c r="C36" s="4"/>
      <c r="D36" s="5">
        <f t="shared" si="0"/>
        <v>4047</v>
      </c>
      <c r="E36" s="5">
        <f t="shared" si="1"/>
        <v>-4047</v>
      </c>
      <c r="F36" s="6" t="str">
        <f t="shared" si="2"/>
        <v/>
      </c>
      <c r="G36" s="6" t="str">
        <f t="shared" si="3"/>
        <v/>
      </c>
    </row>
    <row r="37" spans="1:7" x14ac:dyDescent="0.25">
      <c r="A37" s="3" t="s">
        <v>31</v>
      </c>
      <c r="B37" s="5">
        <v>600</v>
      </c>
      <c r="C37" s="4"/>
      <c r="D37" s="5">
        <f t="shared" si="0"/>
        <v>600</v>
      </c>
      <c r="E37" s="5">
        <f t="shared" si="1"/>
        <v>-600</v>
      </c>
      <c r="F37" s="6" t="str">
        <f t="shared" si="2"/>
        <v/>
      </c>
      <c r="G37" s="6" t="str">
        <f t="shared" si="3"/>
        <v/>
      </c>
    </row>
    <row r="38" spans="1:7" x14ac:dyDescent="0.25">
      <c r="A38" s="3" t="s">
        <v>260</v>
      </c>
      <c r="B38" s="5">
        <v>1500</v>
      </c>
      <c r="C38" s="4"/>
      <c r="D38" s="5">
        <f t="shared" si="0"/>
        <v>1500</v>
      </c>
      <c r="E38" s="5">
        <f t="shared" si="1"/>
        <v>-1500</v>
      </c>
      <c r="F38" s="6" t="str">
        <f t="shared" si="2"/>
        <v/>
      </c>
      <c r="G38" s="6" t="str">
        <f t="shared" si="3"/>
        <v/>
      </c>
    </row>
    <row r="39" spans="1:7" x14ac:dyDescent="0.25">
      <c r="A39" s="3" t="s">
        <v>32</v>
      </c>
      <c r="B39" s="5">
        <v>34842.85</v>
      </c>
      <c r="C39" s="4"/>
      <c r="D39" s="5">
        <f t="shared" si="0"/>
        <v>34842.85</v>
      </c>
      <c r="E39" s="5">
        <f t="shared" si="1"/>
        <v>-34842.85</v>
      </c>
      <c r="F39" s="6" t="str">
        <f t="shared" si="2"/>
        <v/>
      </c>
      <c r="G39" s="6" t="str">
        <f t="shared" si="3"/>
        <v/>
      </c>
    </row>
    <row r="40" spans="1:7" x14ac:dyDescent="0.25">
      <c r="A40" s="3" t="s">
        <v>33</v>
      </c>
      <c r="B40" s="5">
        <v>5242.5600000000004</v>
      </c>
      <c r="C40" s="4"/>
      <c r="D40" s="5">
        <f t="shared" si="0"/>
        <v>5242.5600000000004</v>
      </c>
      <c r="E40" s="5">
        <f t="shared" si="1"/>
        <v>-5242.5600000000004</v>
      </c>
      <c r="F40" s="6" t="str">
        <f t="shared" si="2"/>
        <v/>
      </c>
      <c r="G40" s="6" t="str">
        <f t="shared" si="3"/>
        <v/>
      </c>
    </row>
    <row r="41" spans="1:7" x14ac:dyDescent="0.25">
      <c r="A41" s="3" t="s">
        <v>34</v>
      </c>
      <c r="B41" s="5">
        <v>2006.02</v>
      </c>
      <c r="C41" s="4"/>
      <c r="D41" s="5">
        <f t="shared" si="0"/>
        <v>2006.02</v>
      </c>
      <c r="E41" s="5">
        <f t="shared" si="1"/>
        <v>-2006.02</v>
      </c>
      <c r="F41" s="6" t="str">
        <f t="shared" si="2"/>
        <v/>
      </c>
      <c r="G41" s="6" t="str">
        <f t="shared" si="3"/>
        <v/>
      </c>
    </row>
    <row r="42" spans="1:7" x14ac:dyDescent="0.25">
      <c r="A42" s="3" t="s">
        <v>35</v>
      </c>
      <c r="B42" s="5">
        <v>707.92</v>
      </c>
      <c r="C42" s="4"/>
      <c r="D42" s="5">
        <f t="shared" si="0"/>
        <v>707.92</v>
      </c>
      <c r="E42" s="5">
        <f t="shared" si="1"/>
        <v>-707.92</v>
      </c>
      <c r="F42" s="6" t="str">
        <f t="shared" si="2"/>
        <v/>
      </c>
      <c r="G42" s="6" t="str">
        <f t="shared" si="3"/>
        <v/>
      </c>
    </row>
    <row r="43" spans="1:7" x14ac:dyDescent="0.25">
      <c r="A43" s="3" t="s">
        <v>36</v>
      </c>
      <c r="B43" s="7">
        <f>(((B39)+(B40))+(B41))+(B42)</f>
        <v>42799.349999999991</v>
      </c>
      <c r="C43" s="7">
        <f>(((C39)+(C40))+(C41))+(C42)</f>
        <v>0</v>
      </c>
      <c r="D43" s="7">
        <f t="shared" si="0"/>
        <v>42799.349999999991</v>
      </c>
      <c r="E43" s="7">
        <f t="shared" si="1"/>
        <v>-42799.349999999991</v>
      </c>
      <c r="F43" s="8" t="str">
        <f t="shared" si="2"/>
        <v/>
      </c>
      <c r="G43" s="8" t="str">
        <f t="shared" si="3"/>
        <v/>
      </c>
    </row>
    <row r="44" spans="1:7" x14ac:dyDescent="0.25">
      <c r="A44" s="3" t="s">
        <v>37</v>
      </c>
      <c r="B44" s="5">
        <f>350</f>
        <v>350</v>
      </c>
      <c r="C44" s="4"/>
      <c r="D44" s="5">
        <f t="shared" si="0"/>
        <v>350</v>
      </c>
      <c r="E44" s="5">
        <f t="shared" si="1"/>
        <v>-350</v>
      </c>
      <c r="F44" s="6" t="str">
        <f t="shared" si="2"/>
        <v/>
      </c>
      <c r="G44" s="6" t="str">
        <f t="shared" si="3"/>
        <v/>
      </c>
    </row>
    <row r="45" spans="1:7" x14ac:dyDescent="0.25">
      <c r="A45" s="3" t="s">
        <v>38</v>
      </c>
      <c r="B45" s="5">
        <v>1112.3699999999999</v>
      </c>
      <c r="C45" s="4"/>
      <c r="D45" s="5">
        <f t="shared" si="0"/>
        <v>1112.3699999999999</v>
      </c>
      <c r="E45" s="5">
        <f t="shared" si="1"/>
        <v>-1112.3699999999999</v>
      </c>
      <c r="F45" s="6" t="str">
        <f t="shared" si="2"/>
        <v/>
      </c>
      <c r="G45" s="6" t="str">
        <f t="shared" si="3"/>
        <v/>
      </c>
    </row>
    <row r="46" spans="1:7" x14ac:dyDescent="0.25">
      <c r="A46" s="3" t="s">
        <v>39</v>
      </c>
      <c r="B46" s="5">
        <f>1000</f>
        <v>1000</v>
      </c>
      <c r="C46" s="4"/>
      <c r="D46" s="5">
        <f t="shared" si="0"/>
        <v>1000</v>
      </c>
      <c r="E46" s="5">
        <f t="shared" si="1"/>
        <v>-1000</v>
      </c>
      <c r="F46" s="6" t="str">
        <f t="shared" si="2"/>
        <v/>
      </c>
      <c r="G46" s="6" t="str">
        <f t="shared" si="3"/>
        <v/>
      </c>
    </row>
    <row r="47" spans="1:7" x14ac:dyDescent="0.25">
      <c r="A47" s="3" t="s">
        <v>40</v>
      </c>
      <c r="B47" s="5">
        <v>300</v>
      </c>
      <c r="C47" s="4"/>
      <c r="D47" s="5">
        <f t="shared" ref="D47:D82" si="4">(B47)-(C47)</f>
        <v>300</v>
      </c>
      <c r="E47" s="5">
        <f t="shared" ref="E47:E82" si="5">(C47)-(B47)</f>
        <v>-300</v>
      </c>
      <c r="F47" s="6" t="str">
        <f t="shared" ref="F47:F82" si="6">IF(C47=0,"",(B47)/(C47))</f>
        <v/>
      </c>
      <c r="G47" s="6" t="str">
        <f t="shared" ref="G47:G82" si="7">IF(C47=0,"",(E47)/(C47))</f>
        <v/>
      </c>
    </row>
    <row r="48" spans="1:7" x14ac:dyDescent="0.25">
      <c r="A48" s="3" t="s">
        <v>298</v>
      </c>
      <c r="B48" s="5">
        <v>500</v>
      </c>
      <c r="C48" s="4"/>
      <c r="D48" s="5"/>
      <c r="E48" s="5"/>
      <c r="F48" s="6"/>
      <c r="G48" s="6"/>
    </row>
    <row r="49" spans="1:7" x14ac:dyDescent="0.25">
      <c r="A49" s="3" t="s">
        <v>41</v>
      </c>
      <c r="B49" s="5">
        <v>1323.28</v>
      </c>
      <c r="C49" s="4"/>
      <c r="D49" s="5">
        <f t="shared" si="4"/>
        <v>1323.28</v>
      </c>
      <c r="E49" s="5">
        <f t="shared" si="5"/>
        <v>-1323.28</v>
      </c>
      <c r="F49" s="6" t="str">
        <f t="shared" si="6"/>
        <v/>
      </c>
      <c r="G49" s="6" t="str">
        <f t="shared" si="7"/>
        <v/>
      </c>
    </row>
    <row r="50" spans="1:7" x14ac:dyDescent="0.25">
      <c r="A50" s="3" t="s">
        <v>42</v>
      </c>
      <c r="B50" s="5">
        <v>878.31</v>
      </c>
      <c r="C50" s="4"/>
      <c r="D50" s="5">
        <f t="shared" si="4"/>
        <v>878.31</v>
      </c>
      <c r="E50" s="5">
        <f t="shared" si="5"/>
        <v>-878.31</v>
      </c>
      <c r="F50" s="6" t="str">
        <f t="shared" si="6"/>
        <v/>
      </c>
      <c r="G50" s="6" t="str">
        <f t="shared" si="7"/>
        <v/>
      </c>
    </row>
    <row r="51" spans="1:7" x14ac:dyDescent="0.25">
      <c r="A51" s="3" t="s">
        <v>43</v>
      </c>
      <c r="B51" s="5">
        <v>2400</v>
      </c>
      <c r="C51" s="4"/>
      <c r="D51" s="5">
        <f t="shared" si="4"/>
        <v>2400</v>
      </c>
      <c r="E51" s="5">
        <f t="shared" si="5"/>
        <v>-2400</v>
      </c>
      <c r="F51" s="6" t="str">
        <f t="shared" si="6"/>
        <v/>
      </c>
      <c r="G51" s="6" t="str">
        <f t="shared" si="7"/>
        <v/>
      </c>
    </row>
    <row r="52" spans="1:7" x14ac:dyDescent="0.25">
      <c r="A52" s="3" t="s">
        <v>44</v>
      </c>
      <c r="B52" s="5">
        <v>4393.53</v>
      </c>
      <c r="C52" s="4"/>
      <c r="D52" s="5">
        <f t="shared" si="4"/>
        <v>4393.53</v>
      </c>
      <c r="E52" s="5">
        <f t="shared" si="5"/>
        <v>-4393.53</v>
      </c>
      <c r="F52" s="6" t="str">
        <f t="shared" si="6"/>
        <v/>
      </c>
      <c r="G52" s="6" t="str">
        <f t="shared" si="7"/>
        <v/>
      </c>
    </row>
    <row r="53" spans="1:7" x14ac:dyDescent="0.25">
      <c r="A53" s="3" t="s">
        <v>45</v>
      </c>
      <c r="B53" s="5">
        <v>1200</v>
      </c>
      <c r="C53" s="4"/>
      <c r="D53" s="5">
        <f t="shared" si="4"/>
        <v>1200</v>
      </c>
      <c r="E53" s="5">
        <f t="shared" si="5"/>
        <v>-1200</v>
      </c>
      <c r="F53" s="6" t="str">
        <f t="shared" si="6"/>
        <v/>
      </c>
      <c r="G53" s="6" t="str">
        <f t="shared" si="7"/>
        <v/>
      </c>
    </row>
    <row r="54" spans="1:7" x14ac:dyDescent="0.25">
      <c r="A54" s="3" t="s">
        <v>261</v>
      </c>
      <c r="B54" s="5">
        <v>1113.76</v>
      </c>
      <c r="C54" s="4"/>
      <c r="D54" s="5">
        <f t="shared" si="4"/>
        <v>1113.76</v>
      </c>
      <c r="E54" s="5">
        <f t="shared" si="5"/>
        <v>-1113.76</v>
      </c>
      <c r="F54" s="6" t="str">
        <f t="shared" si="6"/>
        <v/>
      </c>
      <c r="G54" s="6" t="str">
        <f t="shared" si="7"/>
        <v/>
      </c>
    </row>
    <row r="55" spans="1:7" x14ac:dyDescent="0.25">
      <c r="A55" s="3" t="s">
        <v>46</v>
      </c>
      <c r="B55" s="5">
        <v>250</v>
      </c>
      <c r="C55" s="4"/>
      <c r="D55" s="5">
        <f t="shared" si="4"/>
        <v>250</v>
      </c>
      <c r="E55" s="5">
        <f t="shared" si="5"/>
        <v>-250</v>
      </c>
      <c r="F55" s="6" t="str">
        <f t="shared" si="6"/>
        <v/>
      </c>
      <c r="G55" s="6" t="str">
        <f t="shared" si="7"/>
        <v/>
      </c>
    </row>
    <row r="56" spans="1:7" x14ac:dyDescent="0.25">
      <c r="A56" s="3" t="s">
        <v>47</v>
      </c>
      <c r="B56" s="5">
        <v>2614.6</v>
      </c>
      <c r="C56" s="4"/>
      <c r="D56" s="5">
        <f t="shared" si="4"/>
        <v>2614.6</v>
      </c>
      <c r="E56" s="5">
        <f t="shared" si="5"/>
        <v>-2614.6</v>
      </c>
      <c r="F56" s="6" t="str">
        <f t="shared" si="6"/>
        <v/>
      </c>
      <c r="G56" s="6" t="str">
        <f t="shared" si="7"/>
        <v/>
      </c>
    </row>
    <row r="57" spans="1:7" x14ac:dyDescent="0.25">
      <c r="A57" s="3" t="s">
        <v>48</v>
      </c>
      <c r="B57" s="5">
        <v>375</v>
      </c>
      <c r="C57" s="4"/>
      <c r="D57" s="5">
        <f t="shared" si="4"/>
        <v>375</v>
      </c>
      <c r="E57" s="5">
        <f t="shared" si="5"/>
        <v>-375</v>
      </c>
      <c r="F57" s="6" t="str">
        <f t="shared" si="6"/>
        <v/>
      </c>
      <c r="G57" s="6" t="str">
        <f t="shared" si="7"/>
        <v/>
      </c>
    </row>
    <row r="58" spans="1:7" x14ac:dyDescent="0.25">
      <c r="A58" s="3" t="s">
        <v>49</v>
      </c>
      <c r="B58" s="5">
        <v>800</v>
      </c>
      <c r="C58" s="4"/>
      <c r="D58" s="5">
        <f t="shared" si="4"/>
        <v>800</v>
      </c>
      <c r="E58" s="5">
        <f t="shared" si="5"/>
        <v>-800</v>
      </c>
      <c r="F58" s="6" t="str">
        <f t="shared" si="6"/>
        <v/>
      </c>
      <c r="G58" s="6" t="str">
        <f t="shared" si="7"/>
        <v/>
      </c>
    </row>
    <row r="59" spans="1:7" x14ac:dyDescent="0.25">
      <c r="A59" s="3" t="s">
        <v>50</v>
      </c>
      <c r="B59" s="5">
        <v>2664.19</v>
      </c>
      <c r="C59" s="4"/>
      <c r="D59" s="5">
        <f t="shared" si="4"/>
        <v>2664.19</v>
      </c>
      <c r="E59" s="5">
        <f t="shared" si="5"/>
        <v>-2664.19</v>
      </c>
      <c r="F59" s="6" t="str">
        <f t="shared" si="6"/>
        <v/>
      </c>
      <c r="G59" s="6" t="str">
        <f t="shared" si="7"/>
        <v/>
      </c>
    </row>
    <row r="60" spans="1:7" x14ac:dyDescent="0.25">
      <c r="A60" s="3" t="s">
        <v>51</v>
      </c>
      <c r="B60" s="5">
        <v>2328.33</v>
      </c>
      <c r="C60" s="4"/>
      <c r="D60" s="5">
        <f t="shared" si="4"/>
        <v>2328.33</v>
      </c>
      <c r="E60" s="5">
        <f t="shared" si="5"/>
        <v>-2328.33</v>
      </c>
      <c r="F60" s="6" t="str">
        <f t="shared" si="6"/>
        <v/>
      </c>
      <c r="G60" s="6" t="str">
        <f t="shared" si="7"/>
        <v/>
      </c>
    </row>
    <row r="61" spans="1:7" x14ac:dyDescent="0.25">
      <c r="A61" s="3" t="s">
        <v>52</v>
      </c>
      <c r="B61" s="5">
        <v>2794.17</v>
      </c>
      <c r="C61" s="4"/>
      <c r="D61" s="5">
        <f t="shared" si="4"/>
        <v>2794.17</v>
      </c>
      <c r="E61" s="5">
        <f t="shared" si="5"/>
        <v>-2794.17</v>
      </c>
      <c r="F61" s="6" t="str">
        <f t="shared" si="6"/>
        <v/>
      </c>
      <c r="G61" s="6" t="str">
        <f t="shared" si="7"/>
        <v/>
      </c>
    </row>
    <row r="62" spans="1:7" x14ac:dyDescent="0.25">
      <c r="A62" s="3" t="s">
        <v>53</v>
      </c>
      <c r="B62" s="5">
        <v>19020</v>
      </c>
      <c r="C62" s="4"/>
      <c r="D62" s="5">
        <f t="shared" si="4"/>
        <v>19020</v>
      </c>
      <c r="E62" s="5">
        <f t="shared" si="5"/>
        <v>-19020</v>
      </c>
      <c r="F62" s="6" t="str">
        <f t="shared" si="6"/>
        <v/>
      </c>
      <c r="G62" s="6" t="str">
        <f t="shared" si="7"/>
        <v/>
      </c>
    </row>
    <row r="63" spans="1:7" x14ac:dyDescent="0.25">
      <c r="A63" s="3" t="s">
        <v>262</v>
      </c>
      <c r="B63" s="5">
        <v>300</v>
      </c>
      <c r="C63" s="4"/>
      <c r="D63" s="5">
        <f t="shared" si="4"/>
        <v>300</v>
      </c>
      <c r="E63" s="5">
        <f t="shared" si="5"/>
        <v>-300</v>
      </c>
      <c r="F63" s="6" t="str">
        <f t="shared" si="6"/>
        <v/>
      </c>
      <c r="G63" s="6" t="str">
        <f t="shared" si="7"/>
        <v/>
      </c>
    </row>
    <row r="64" spans="1:7" x14ac:dyDescent="0.25">
      <c r="A64" s="3" t="s">
        <v>54</v>
      </c>
      <c r="B64" s="5">
        <v>5349.71</v>
      </c>
      <c r="C64" s="4"/>
      <c r="D64" s="5">
        <f t="shared" si="4"/>
        <v>5349.71</v>
      </c>
      <c r="E64" s="5">
        <f t="shared" si="5"/>
        <v>-5349.71</v>
      </c>
      <c r="F64" s="6" t="str">
        <f t="shared" si="6"/>
        <v/>
      </c>
      <c r="G64" s="6" t="str">
        <f t="shared" si="7"/>
        <v/>
      </c>
    </row>
    <row r="65" spans="1:10" x14ac:dyDescent="0.25">
      <c r="A65" s="3" t="s">
        <v>285</v>
      </c>
      <c r="B65" s="5">
        <v>631.54</v>
      </c>
      <c r="C65" s="4"/>
      <c r="D65" s="5">
        <f t="shared" si="4"/>
        <v>631.54</v>
      </c>
      <c r="E65" s="5">
        <f t="shared" si="5"/>
        <v>-631.54</v>
      </c>
      <c r="F65" s="6" t="str">
        <f t="shared" si="6"/>
        <v/>
      </c>
      <c r="G65" s="6" t="str">
        <f t="shared" si="7"/>
        <v/>
      </c>
    </row>
    <row r="66" spans="1:10" x14ac:dyDescent="0.25">
      <c r="A66" s="3" t="s">
        <v>55</v>
      </c>
      <c r="B66" s="5">
        <v>1866.64</v>
      </c>
      <c r="C66" s="4"/>
      <c r="D66" s="5">
        <f t="shared" si="4"/>
        <v>1866.64</v>
      </c>
      <c r="E66" s="5">
        <f t="shared" si="5"/>
        <v>-1866.64</v>
      </c>
      <c r="F66" s="6" t="str">
        <f t="shared" si="6"/>
        <v/>
      </c>
      <c r="G66" s="6" t="str">
        <f t="shared" si="7"/>
        <v/>
      </c>
    </row>
    <row r="67" spans="1:10" x14ac:dyDescent="0.25">
      <c r="A67" s="3" t="s">
        <v>56</v>
      </c>
      <c r="B67" s="5">
        <v>2713.6</v>
      </c>
      <c r="C67" s="4"/>
      <c r="D67" s="5">
        <f t="shared" si="4"/>
        <v>2713.6</v>
      </c>
      <c r="E67" s="5">
        <f t="shared" si="5"/>
        <v>-2713.6</v>
      </c>
      <c r="F67" s="6" t="str">
        <f t="shared" si="6"/>
        <v/>
      </c>
      <c r="G67" s="6" t="str">
        <f t="shared" si="7"/>
        <v/>
      </c>
    </row>
    <row r="68" spans="1:10" x14ac:dyDescent="0.25">
      <c r="A68" s="3" t="s">
        <v>57</v>
      </c>
      <c r="B68" s="5">
        <v>395</v>
      </c>
      <c r="C68" s="4"/>
      <c r="D68" s="5">
        <f t="shared" si="4"/>
        <v>395</v>
      </c>
      <c r="E68" s="5">
        <f t="shared" si="5"/>
        <v>-395</v>
      </c>
      <c r="F68" s="6" t="str">
        <f t="shared" si="6"/>
        <v/>
      </c>
      <c r="G68" s="6" t="str">
        <f t="shared" si="7"/>
        <v/>
      </c>
    </row>
    <row r="69" spans="1:10" x14ac:dyDescent="0.25">
      <c r="A69" s="3" t="s">
        <v>58</v>
      </c>
      <c r="B69" s="5">
        <v>3204.87</v>
      </c>
      <c r="C69" s="4"/>
      <c r="D69" s="5">
        <f t="shared" si="4"/>
        <v>3204.87</v>
      </c>
      <c r="E69" s="5">
        <f t="shared" si="5"/>
        <v>-3204.87</v>
      </c>
      <c r="F69" s="6" t="str">
        <f t="shared" si="6"/>
        <v/>
      </c>
      <c r="G69" s="6" t="str">
        <f t="shared" si="7"/>
        <v/>
      </c>
    </row>
    <row r="70" spans="1:10" x14ac:dyDescent="0.25">
      <c r="A70" s="3" t="s">
        <v>296</v>
      </c>
      <c r="B70" s="5">
        <v>500</v>
      </c>
      <c r="C70" s="4"/>
      <c r="D70" s="5">
        <f t="shared" si="4"/>
        <v>500</v>
      </c>
      <c r="E70" s="5">
        <f t="shared" si="5"/>
        <v>-500</v>
      </c>
      <c r="F70" s="6" t="str">
        <f t="shared" si="6"/>
        <v/>
      </c>
      <c r="G70" s="6" t="str">
        <f t="shared" si="7"/>
        <v/>
      </c>
    </row>
    <row r="71" spans="1:10" x14ac:dyDescent="0.25">
      <c r="A71" s="3" t="s">
        <v>59</v>
      </c>
      <c r="B71" s="5">
        <v>400</v>
      </c>
      <c r="C71" s="4"/>
      <c r="D71" s="5">
        <f t="shared" si="4"/>
        <v>400</v>
      </c>
      <c r="E71" s="5">
        <f t="shared" si="5"/>
        <v>-400</v>
      </c>
      <c r="F71" s="6" t="str">
        <f t="shared" si="6"/>
        <v/>
      </c>
      <c r="G71" s="6" t="str">
        <f t="shared" si="7"/>
        <v/>
      </c>
      <c r="J71" s="20"/>
    </row>
    <row r="72" spans="1:10" x14ac:dyDescent="0.25">
      <c r="A72" s="3" t="s">
        <v>60</v>
      </c>
      <c r="B72" s="5">
        <v>13318.63</v>
      </c>
      <c r="C72" s="4"/>
      <c r="D72" s="5">
        <f t="shared" si="4"/>
        <v>13318.63</v>
      </c>
      <c r="E72" s="5">
        <f t="shared" si="5"/>
        <v>-13318.63</v>
      </c>
      <c r="F72" s="6" t="str">
        <f t="shared" si="6"/>
        <v/>
      </c>
      <c r="G72" s="6" t="str">
        <f t="shared" si="7"/>
        <v/>
      </c>
    </row>
    <row r="73" spans="1:10" x14ac:dyDescent="0.25">
      <c r="A73" s="3" t="s">
        <v>275</v>
      </c>
      <c r="B73" s="5">
        <v>1128.43</v>
      </c>
      <c r="C73" s="4"/>
      <c r="D73" s="5">
        <f t="shared" si="4"/>
        <v>1128.43</v>
      </c>
      <c r="E73" s="5">
        <f t="shared" si="5"/>
        <v>-1128.43</v>
      </c>
      <c r="F73" s="6" t="str">
        <f t="shared" si="6"/>
        <v/>
      </c>
      <c r="G73" s="6" t="str">
        <f t="shared" si="7"/>
        <v/>
      </c>
    </row>
    <row r="74" spans="1:10" x14ac:dyDescent="0.25">
      <c r="A74" s="3" t="s">
        <v>61</v>
      </c>
      <c r="B74" s="7">
        <f>((((((((((((((((((((((((((((((((((((((((((((((((B7)+(B9))+(B10))+(B13))+(B15))+(B16))+(B17))+(B18))+(B19))+(B20))+(B22))+(B23))+(B24))+(B25))+(B26))+(B28))+(B29))+(B30))+(B31))+(B33))+(B34))+(B35))+(B36))+(B37))+(B43))+(B44))+(B45))+(B46))+(B47))+(B49))+(B50))+(B51))+(B52))+(B53))+(B55))+(B56))+(B57))+(B58))+(B59))+(B60))+(B61))+(B62))+(B65))+(B66))+(B67))+(B68))+(B69))+(B71))+(B72)+B8+B14+B21+B27+B54+B63+B38+B73+B11+B64+B12+B70+B32+B48</f>
        <v>204323.11000000002</v>
      </c>
      <c r="C74" s="7">
        <f>((((((((((((((((((((((((((((((((((((((((((((((((C7)+(C9))+(C10))+(C13))+(C15))+(C16))+(C17))+(C18))+(C19))+(C20))+(C22))+(C23))+(C24))+(C25))+(C26))+(C28))+(C29))+(C30))+(C31))+(C33))+(C34))+(C35))+(C36))+(C37))+(C43))+(C44))+(C45))+(C46))+(C47))+(C49))+(C50))+(C51))+(C52))+(C53))+(C55))+(C56))+(C57))+(C58))+(C59))+(C60))+(C61))+(C62))+(C64))+(C66))+(C67))+(C68))+(C69))+(C71))+(C72)</f>
        <v>244767.84</v>
      </c>
      <c r="D74" s="7">
        <f t="shared" si="4"/>
        <v>-40444.729999999981</v>
      </c>
      <c r="E74" s="7">
        <f t="shared" si="5"/>
        <v>40444.729999999981</v>
      </c>
      <c r="F74" s="8">
        <f t="shared" si="6"/>
        <v>0.83476289205313903</v>
      </c>
      <c r="G74" s="8">
        <f t="shared" si="7"/>
        <v>0.16523710794686092</v>
      </c>
    </row>
    <row r="75" spans="1:10" x14ac:dyDescent="0.25">
      <c r="A75" s="3" t="s">
        <v>62</v>
      </c>
      <c r="B75" s="5">
        <v>17300</v>
      </c>
      <c r="C75" s="4"/>
      <c r="D75" s="5">
        <f t="shared" si="4"/>
        <v>17300</v>
      </c>
      <c r="E75" s="5">
        <f t="shared" si="5"/>
        <v>-17300</v>
      </c>
      <c r="F75" s="6" t="str">
        <f t="shared" si="6"/>
        <v/>
      </c>
      <c r="G75" s="6" t="str">
        <f t="shared" si="7"/>
        <v/>
      </c>
    </row>
    <row r="76" spans="1:10" x14ac:dyDescent="0.25">
      <c r="A76" s="3" t="s">
        <v>63</v>
      </c>
      <c r="B76" s="4">
        <v>15123.29</v>
      </c>
      <c r="C76" s="5">
        <f>15800</f>
        <v>15800</v>
      </c>
      <c r="D76" s="5">
        <f t="shared" si="4"/>
        <v>-676.70999999999913</v>
      </c>
      <c r="E76" s="5">
        <f t="shared" si="5"/>
        <v>676.70999999999913</v>
      </c>
      <c r="F76" s="6">
        <f t="shared" si="6"/>
        <v>0.95717025316455706</v>
      </c>
      <c r="G76" s="6">
        <f t="shared" si="7"/>
        <v>4.2829746835442981E-2</v>
      </c>
    </row>
    <row r="77" spans="1:10" x14ac:dyDescent="0.25">
      <c r="A77" s="3" t="s">
        <v>64</v>
      </c>
      <c r="B77" s="5">
        <v>31308.35</v>
      </c>
      <c r="C77" s="4"/>
      <c r="D77" s="5">
        <f t="shared" si="4"/>
        <v>31308.35</v>
      </c>
      <c r="E77" s="5">
        <f t="shared" si="5"/>
        <v>-31308.35</v>
      </c>
      <c r="F77" s="6" t="str">
        <f t="shared" si="6"/>
        <v/>
      </c>
      <c r="G77" s="6" t="str">
        <f t="shared" si="7"/>
        <v/>
      </c>
    </row>
    <row r="78" spans="1:10" x14ac:dyDescent="0.25">
      <c r="A78" s="3" t="s">
        <v>65</v>
      </c>
      <c r="B78" s="4">
        <v>0</v>
      </c>
      <c r="C78" s="5">
        <f>27411.59</f>
        <v>27411.59</v>
      </c>
      <c r="D78" s="5">
        <f t="shared" si="4"/>
        <v>-27411.59</v>
      </c>
      <c r="E78" s="5">
        <f t="shared" si="5"/>
        <v>27411.59</v>
      </c>
      <c r="F78" s="6">
        <f t="shared" si="6"/>
        <v>0</v>
      </c>
      <c r="G78" s="6">
        <f t="shared" si="7"/>
        <v>1</v>
      </c>
    </row>
    <row r="79" spans="1:10" x14ac:dyDescent="0.25">
      <c r="A79" s="3" t="s">
        <v>66</v>
      </c>
      <c r="B79" s="4">
        <v>2500</v>
      </c>
      <c r="C79" s="5">
        <f>5000</f>
        <v>5000</v>
      </c>
      <c r="D79" s="5">
        <f t="shared" si="4"/>
        <v>-2500</v>
      </c>
      <c r="E79" s="5">
        <f t="shared" si="5"/>
        <v>2500</v>
      </c>
      <c r="F79" s="6">
        <f t="shared" si="6"/>
        <v>0.5</v>
      </c>
      <c r="G79" s="6">
        <f t="shared" si="7"/>
        <v>0.5</v>
      </c>
    </row>
    <row r="80" spans="1:10" x14ac:dyDescent="0.25">
      <c r="A80" s="3" t="s">
        <v>67</v>
      </c>
      <c r="B80" s="4">
        <v>8750</v>
      </c>
      <c r="C80" s="5">
        <f>15000</f>
        <v>15000</v>
      </c>
      <c r="D80" s="5">
        <f t="shared" si="4"/>
        <v>-6250</v>
      </c>
      <c r="E80" s="5">
        <f t="shared" si="5"/>
        <v>6250</v>
      </c>
      <c r="F80" s="6">
        <f t="shared" si="6"/>
        <v>0.58333333333333337</v>
      </c>
      <c r="G80" s="6">
        <f t="shared" si="7"/>
        <v>0.41666666666666669</v>
      </c>
    </row>
    <row r="81" spans="1:7" x14ac:dyDescent="0.25">
      <c r="A81" s="3" t="s">
        <v>68</v>
      </c>
      <c r="B81" s="7">
        <f>((((((B74)+(B75))+(B76))+(B77))+(B78))+(B79))+(B80)</f>
        <v>279304.75</v>
      </c>
      <c r="C81" s="7">
        <f>((((((C74)+(C75))+(C76))+(C77))+(C78))+(C79))+(C80)</f>
        <v>307979.43</v>
      </c>
      <c r="D81" s="7">
        <f t="shared" si="4"/>
        <v>-28674.679999999993</v>
      </c>
      <c r="E81" s="7">
        <f t="shared" si="5"/>
        <v>28674.679999999993</v>
      </c>
      <c r="F81" s="8">
        <f t="shared" si="6"/>
        <v>0.90689417147112716</v>
      </c>
      <c r="G81" s="8">
        <f t="shared" si="7"/>
        <v>9.3105828528872836E-2</v>
      </c>
    </row>
    <row r="82" spans="1:7" x14ac:dyDescent="0.25">
      <c r="A82" s="3" t="s">
        <v>69</v>
      </c>
      <c r="B82" s="7">
        <f>(B81)-(0)</f>
        <v>279304.75</v>
      </c>
      <c r="C82" s="7">
        <f>(C81)-(0)</f>
        <v>307979.43</v>
      </c>
      <c r="D82" s="7">
        <f t="shared" si="4"/>
        <v>-28674.679999999993</v>
      </c>
      <c r="E82" s="7">
        <f t="shared" si="5"/>
        <v>28674.679999999993</v>
      </c>
      <c r="F82" s="8">
        <f t="shared" si="6"/>
        <v>0.90689417147112716</v>
      </c>
      <c r="G82" s="8">
        <f t="shared" si="7"/>
        <v>9.3105828528872836E-2</v>
      </c>
    </row>
    <row r="83" spans="1:7" x14ac:dyDescent="0.25">
      <c r="A83" s="3" t="s">
        <v>70</v>
      </c>
      <c r="B83" s="4"/>
      <c r="C83" s="4"/>
      <c r="D83" s="4"/>
      <c r="E83" s="4"/>
      <c r="F83" s="4"/>
      <c r="G83" s="4"/>
    </row>
    <row r="84" spans="1:7" x14ac:dyDescent="0.25">
      <c r="A84" s="3" t="s">
        <v>71</v>
      </c>
      <c r="B84" s="4"/>
      <c r="C84" s="4"/>
      <c r="D84" s="5">
        <f t="shared" ref="D84:D120" si="8">(B84)-(C84)</f>
        <v>0</v>
      </c>
      <c r="E84" s="5">
        <f t="shared" ref="E84:E120" si="9">(C84)-(B84)</f>
        <v>0</v>
      </c>
      <c r="F84" s="6" t="str">
        <f t="shared" ref="F84:F120" si="10">IF(C84=0,"",(B84)/(C84))</f>
        <v/>
      </c>
      <c r="G84" s="6" t="str">
        <f t="shared" ref="G84:G120" si="11">IF(C84=0,"",(E84)/(C84))</f>
        <v/>
      </c>
    </row>
    <row r="85" spans="1:7" hidden="1" x14ac:dyDescent="0.25">
      <c r="A85" s="3" t="s">
        <v>72</v>
      </c>
      <c r="B85" s="4"/>
      <c r="C85" s="4"/>
      <c r="D85" s="5">
        <f t="shared" si="8"/>
        <v>0</v>
      </c>
      <c r="E85" s="5">
        <f t="shared" si="9"/>
        <v>0</v>
      </c>
      <c r="F85" s="6" t="str">
        <f t="shared" si="10"/>
        <v/>
      </c>
      <c r="G85" s="6" t="str">
        <f t="shared" si="11"/>
        <v/>
      </c>
    </row>
    <row r="86" spans="1:7" hidden="1" x14ac:dyDescent="0.25">
      <c r="A86" s="3" t="s">
        <v>73</v>
      </c>
      <c r="B86" s="4">
        <v>6180</v>
      </c>
      <c r="C86" s="5">
        <f>9270</f>
        <v>9270</v>
      </c>
      <c r="D86" s="5">
        <f t="shared" si="8"/>
        <v>-3090</v>
      </c>
      <c r="E86" s="5">
        <f t="shared" si="9"/>
        <v>3090</v>
      </c>
      <c r="F86" s="6">
        <f t="shared" si="10"/>
        <v>0.66666666666666663</v>
      </c>
      <c r="G86" s="6">
        <f t="shared" si="11"/>
        <v>0.33333333333333331</v>
      </c>
    </row>
    <row r="87" spans="1:7" hidden="1" x14ac:dyDescent="0.25">
      <c r="A87" s="3" t="s">
        <v>74</v>
      </c>
      <c r="B87" s="4">
        <v>472.77</v>
      </c>
      <c r="C87" s="5">
        <f>2865.85</f>
        <v>2865.85</v>
      </c>
      <c r="D87" s="5">
        <f t="shared" si="8"/>
        <v>-2393.08</v>
      </c>
      <c r="E87" s="5">
        <f t="shared" si="9"/>
        <v>2393.08</v>
      </c>
      <c r="F87" s="6">
        <f t="shared" si="10"/>
        <v>0.16496676378735803</v>
      </c>
      <c r="G87" s="6">
        <f t="shared" si="11"/>
        <v>0.83503323621264203</v>
      </c>
    </row>
    <row r="88" spans="1:7" x14ac:dyDescent="0.25">
      <c r="A88" s="3" t="s">
        <v>75</v>
      </c>
      <c r="B88" s="7">
        <f>((B85)+(B86))+(B87)</f>
        <v>6652.77</v>
      </c>
      <c r="C88" s="7">
        <f>((C85)+(C86))+(C87)</f>
        <v>12135.85</v>
      </c>
      <c r="D88" s="7">
        <f t="shared" si="8"/>
        <v>-5483.08</v>
      </c>
      <c r="E88" s="7">
        <f t="shared" si="9"/>
        <v>5483.08</v>
      </c>
      <c r="F88" s="8">
        <f t="shared" si="10"/>
        <v>0.54819151522143073</v>
      </c>
      <c r="G88" s="8">
        <f t="shared" si="11"/>
        <v>0.45180848477856927</v>
      </c>
    </row>
    <row r="89" spans="1:7" x14ac:dyDescent="0.25">
      <c r="A89" s="3" t="s">
        <v>76</v>
      </c>
      <c r="B89" s="4"/>
      <c r="C89" s="4"/>
      <c r="D89" s="5">
        <f t="shared" si="8"/>
        <v>0</v>
      </c>
      <c r="E89" s="5">
        <f t="shared" si="9"/>
        <v>0</v>
      </c>
      <c r="F89" s="6" t="str">
        <f t="shared" si="10"/>
        <v/>
      </c>
      <c r="G89" s="6" t="str">
        <f t="shared" si="11"/>
        <v/>
      </c>
    </row>
    <row r="90" spans="1:7" x14ac:dyDescent="0.25">
      <c r="A90" s="3" t="s">
        <v>77</v>
      </c>
      <c r="B90" s="5">
        <v>26529.53</v>
      </c>
      <c r="C90" s="5">
        <f>20000</f>
        <v>20000</v>
      </c>
      <c r="D90" s="5">
        <f t="shared" si="8"/>
        <v>6529.5299999999988</v>
      </c>
      <c r="E90" s="5">
        <f t="shared" si="9"/>
        <v>-6529.5299999999988</v>
      </c>
      <c r="F90" s="6">
        <f t="shared" si="10"/>
        <v>1.3264764999999998</v>
      </c>
      <c r="G90" s="6">
        <f t="shared" si="11"/>
        <v>-0.32647649999999995</v>
      </c>
    </row>
    <row r="91" spans="1:7" x14ac:dyDescent="0.25">
      <c r="A91" s="3" t="s">
        <v>78</v>
      </c>
      <c r="B91" s="7">
        <f>(B89)+(B90)</f>
        <v>26529.53</v>
      </c>
      <c r="C91" s="7">
        <f>(C89)+(C90)</f>
        <v>20000</v>
      </c>
      <c r="D91" s="7">
        <f t="shared" si="8"/>
        <v>6529.5299999999988</v>
      </c>
      <c r="E91" s="7">
        <f t="shared" si="9"/>
        <v>-6529.5299999999988</v>
      </c>
      <c r="F91" s="8">
        <f t="shared" si="10"/>
        <v>1.3264764999999998</v>
      </c>
      <c r="G91" s="8">
        <f t="shared" si="11"/>
        <v>-0.32647649999999995</v>
      </c>
    </row>
    <row r="92" spans="1:7" hidden="1" x14ac:dyDescent="0.25">
      <c r="A92" s="3" t="s">
        <v>79</v>
      </c>
      <c r="B92" s="4"/>
      <c r="C92" s="5">
        <f>36411.15</f>
        <v>36411.15</v>
      </c>
      <c r="D92" s="5">
        <f t="shared" si="8"/>
        <v>-36411.15</v>
      </c>
      <c r="E92" s="5">
        <f t="shared" si="9"/>
        <v>36411.15</v>
      </c>
      <c r="F92" s="6">
        <f t="shared" si="10"/>
        <v>0</v>
      </c>
      <c r="G92" s="6">
        <f t="shared" si="11"/>
        <v>1</v>
      </c>
    </row>
    <row r="93" spans="1:7" hidden="1" x14ac:dyDescent="0.25">
      <c r="A93" s="3" t="s">
        <v>80</v>
      </c>
      <c r="B93" s="5">
        <v>9369.9699999999993</v>
      </c>
      <c r="C93" s="4"/>
      <c r="D93" s="5">
        <f t="shared" si="8"/>
        <v>9369.9699999999993</v>
      </c>
      <c r="E93" s="5">
        <f t="shared" si="9"/>
        <v>-9369.9699999999993</v>
      </c>
      <c r="F93" s="6" t="str">
        <f t="shared" si="10"/>
        <v/>
      </c>
      <c r="G93" s="6" t="str">
        <f t="shared" si="11"/>
        <v/>
      </c>
    </row>
    <row r="94" spans="1:7" hidden="1" x14ac:dyDescent="0.25">
      <c r="A94" s="3" t="s">
        <v>81</v>
      </c>
      <c r="B94" s="5">
        <v>4758.78</v>
      </c>
      <c r="C94" s="4"/>
      <c r="D94" s="5">
        <f t="shared" si="8"/>
        <v>4758.78</v>
      </c>
      <c r="E94" s="5">
        <f t="shared" si="9"/>
        <v>-4758.78</v>
      </c>
      <c r="F94" s="6" t="str">
        <f t="shared" si="10"/>
        <v/>
      </c>
      <c r="G94" s="6" t="str">
        <f t="shared" si="11"/>
        <v/>
      </c>
    </row>
    <row r="95" spans="1:7" hidden="1" x14ac:dyDescent="0.25">
      <c r="A95" s="3" t="s">
        <v>282</v>
      </c>
      <c r="B95" s="5">
        <v>2868.78</v>
      </c>
      <c r="C95" s="4"/>
      <c r="D95" s="5">
        <f t="shared" si="8"/>
        <v>2868.78</v>
      </c>
      <c r="E95" s="5">
        <f t="shared" si="9"/>
        <v>-2868.78</v>
      </c>
      <c r="F95" s="6" t="str">
        <f t="shared" si="10"/>
        <v/>
      </c>
      <c r="G95" s="6" t="str">
        <f t="shared" si="11"/>
        <v/>
      </c>
    </row>
    <row r="96" spans="1:7" hidden="1" x14ac:dyDescent="0.25">
      <c r="A96" s="3" t="s">
        <v>164</v>
      </c>
      <c r="B96" s="5">
        <v>21198.799999999999</v>
      </c>
      <c r="C96" s="4"/>
      <c r="D96" s="5"/>
      <c r="E96" s="5"/>
      <c r="F96" s="6"/>
      <c r="G96" s="6"/>
    </row>
    <row r="97" spans="1:7" hidden="1" x14ac:dyDescent="0.25">
      <c r="A97" s="3" t="s">
        <v>82</v>
      </c>
      <c r="B97" s="7">
        <f>((B92)+(B93))+(B94)+B96+B95</f>
        <v>38196.33</v>
      </c>
      <c r="C97" s="7">
        <f>((C92)+(C93))+(C94)</f>
        <v>36411.15</v>
      </c>
      <c r="D97" s="7">
        <f t="shared" si="8"/>
        <v>1785.1800000000003</v>
      </c>
      <c r="E97" s="7">
        <f t="shared" si="9"/>
        <v>-1785.1800000000003</v>
      </c>
      <c r="F97" s="8">
        <f t="shared" si="10"/>
        <v>1.0490283882821607</v>
      </c>
      <c r="G97" s="8">
        <f t="shared" si="11"/>
        <v>-4.9028388282160829E-2</v>
      </c>
    </row>
    <row r="98" spans="1:7" x14ac:dyDescent="0.25">
      <c r="A98" s="3" t="s">
        <v>83</v>
      </c>
      <c r="B98" s="7">
        <f>(((B84)+(B88))+(B91))+(B97)</f>
        <v>71378.63</v>
      </c>
      <c r="C98" s="7">
        <f>(((C84)+(C88))+(C91))+(C97)</f>
        <v>68547</v>
      </c>
      <c r="D98" s="7">
        <f t="shared" si="8"/>
        <v>2831.6300000000047</v>
      </c>
      <c r="E98" s="7">
        <f t="shared" si="9"/>
        <v>-2831.6300000000047</v>
      </c>
      <c r="F98" s="8">
        <f t="shared" si="10"/>
        <v>1.0413093206121349</v>
      </c>
      <c r="G98" s="8">
        <f t="shared" si="11"/>
        <v>-4.1309320612134805E-2</v>
      </c>
    </row>
    <row r="99" spans="1:7" x14ac:dyDescent="0.25">
      <c r="A99" s="3" t="s">
        <v>84</v>
      </c>
      <c r="B99" s="4"/>
      <c r="C99" s="4"/>
      <c r="D99" s="5">
        <f t="shared" si="8"/>
        <v>0</v>
      </c>
      <c r="E99" s="5">
        <f t="shared" si="9"/>
        <v>0</v>
      </c>
      <c r="F99" s="6" t="str">
        <f t="shared" si="10"/>
        <v/>
      </c>
      <c r="G99" s="6" t="str">
        <f t="shared" si="11"/>
        <v/>
      </c>
    </row>
    <row r="100" spans="1:7" x14ac:dyDescent="0.25">
      <c r="A100" s="3" t="s">
        <v>85</v>
      </c>
      <c r="B100" s="4"/>
      <c r="C100" s="5">
        <f>25991</f>
        <v>25991</v>
      </c>
      <c r="D100" s="5">
        <f t="shared" si="8"/>
        <v>-25991</v>
      </c>
      <c r="E100" s="5">
        <f t="shared" si="9"/>
        <v>25991</v>
      </c>
      <c r="F100" s="6">
        <f t="shared" si="10"/>
        <v>0</v>
      </c>
      <c r="G100" s="6">
        <f t="shared" si="11"/>
        <v>1</v>
      </c>
    </row>
    <row r="101" spans="1:7" hidden="1" x14ac:dyDescent="0.25">
      <c r="A101" s="3" t="s">
        <v>253</v>
      </c>
      <c r="B101" s="4">
        <v>6744.16</v>
      </c>
      <c r="C101" s="5"/>
      <c r="D101" s="5"/>
      <c r="E101" s="5"/>
      <c r="F101" s="6"/>
      <c r="G101" s="6"/>
    </row>
    <row r="102" spans="1:7" hidden="1" x14ac:dyDescent="0.25">
      <c r="A102" s="3" t="s">
        <v>86</v>
      </c>
      <c r="B102" s="4"/>
      <c r="C102" s="4"/>
      <c r="D102" s="5">
        <f t="shared" si="8"/>
        <v>0</v>
      </c>
      <c r="E102" s="5">
        <f t="shared" si="9"/>
        <v>0</v>
      </c>
      <c r="F102" s="6" t="str">
        <f t="shared" si="10"/>
        <v/>
      </c>
      <c r="G102" s="6" t="str">
        <f t="shared" si="11"/>
        <v/>
      </c>
    </row>
    <row r="103" spans="1:7" hidden="1" x14ac:dyDescent="0.25">
      <c r="A103" s="3" t="s">
        <v>267</v>
      </c>
      <c r="B103" s="5">
        <v>813</v>
      </c>
      <c r="C103" s="4"/>
      <c r="D103" s="5">
        <f t="shared" si="8"/>
        <v>813</v>
      </c>
      <c r="E103" s="5">
        <f t="shared" si="9"/>
        <v>-813</v>
      </c>
      <c r="F103" s="6" t="str">
        <f t="shared" si="10"/>
        <v/>
      </c>
      <c r="G103" s="6" t="str">
        <f t="shared" si="11"/>
        <v/>
      </c>
    </row>
    <row r="104" spans="1:7" hidden="1" x14ac:dyDescent="0.25">
      <c r="A104" s="3" t="s">
        <v>87</v>
      </c>
      <c r="B104" s="5">
        <v>733.34</v>
      </c>
      <c r="C104" s="4"/>
      <c r="D104" s="5">
        <f t="shared" si="8"/>
        <v>733.34</v>
      </c>
      <c r="E104" s="5">
        <f t="shared" si="9"/>
        <v>-733.34</v>
      </c>
      <c r="F104" s="6" t="str">
        <f t="shared" si="10"/>
        <v/>
      </c>
      <c r="G104" s="6" t="str">
        <f t="shared" si="11"/>
        <v/>
      </c>
    </row>
    <row r="105" spans="1:7" hidden="1" x14ac:dyDescent="0.25">
      <c r="A105" s="3" t="s">
        <v>88</v>
      </c>
      <c r="B105" s="5">
        <v>2566.67</v>
      </c>
      <c r="C105" s="4"/>
      <c r="D105" s="5">
        <f t="shared" si="8"/>
        <v>2566.67</v>
      </c>
      <c r="E105" s="5">
        <f t="shared" si="9"/>
        <v>-2566.67</v>
      </c>
      <c r="F105" s="6" t="str">
        <f t="shared" si="10"/>
        <v/>
      </c>
      <c r="G105" s="6" t="str">
        <f t="shared" si="11"/>
        <v/>
      </c>
    </row>
    <row r="106" spans="1:7" hidden="1" x14ac:dyDescent="0.25">
      <c r="A106" s="3" t="s">
        <v>89</v>
      </c>
      <c r="B106" s="5">
        <v>600</v>
      </c>
      <c r="C106" s="4"/>
      <c r="D106" s="5">
        <f t="shared" si="8"/>
        <v>600</v>
      </c>
      <c r="E106" s="5">
        <f t="shared" si="9"/>
        <v>-600</v>
      </c>
      <c r="F106" s="6" t="str">
        <f t="shared" si="10"/>
        <v/>
      </c>
      <c r="G106" s="6" t="str">
        <f t="shared" si="11"/>
        <v/>
      </c>
    </row>
    <row r="107" spans="1:7" hidden="1" x14ac:dyDescent="0.25">
      <c r="A107" s="3" t="s">
        <v>90</v>
      </c>
      <c r="B107" s="7">
        <f>(B105)+(B106)</f>
        <v>3166.67</v>
      </c>
      <c r="C107" s="7">
        <f>(C105)+(C106)</f>
        <v>0</v>
      </c>
      <c r="D107" s="7">
        <f t="shared" si="8"/>
        <v>3166.67</v>
      </c>
      <c r="E107" s="7">
        <f t="shared" si="9"/>
        <v>-3166.67</v>
      </c>
      <c r="F107" s="8" t="str">
        <f t="shared" si="10"/>
        <v/>
      </c>
      <c r="G107" s="8" t="str">
        <f t="shared" si="11"/>
        <v/>
      </c>
    </row>
    <row r="108" spans="1:7" hidden="1" x14ac:dyDescent="0.25">
      <c r="A108" s="3" t="s">
        <v>91</v>
      </c>
      <c r="B108" s="5">
        <v>583.33000000000004</v>
      </c>
      <c r="C108" s="4"/>
      <c r="D108" s="5">
        <f t="shared" si="8"/>
        <v>583.33000000000004</v>
      </c>
      <c r="E108" s="5">
        <f t="shared" si="9"/>
        <v>-583.33000000000004</v>
      </c>
      <c r="F108" s="6" t="str">
        <f t="shared" si="10"/>
        <v/>
      </c>
      <c r="G108" s="6" t="str">
        <f t="shared" si="11"/>
        <v/>
      </c>
    </row>
    <row r="109" spans="1:7" hidden="1" x14ac:dyDescent="0.25">
      <c r="A109" s="3" t="s">
        <v>294</v>
      </c>
      <c r="B109" s="5">
        <v>180</v>
      </c>
      <c r="C109" s="4"/>
      <c r="D109" s="5">
        <f t="shared" si="8"/>
        <v>180</v>
      </c>
      <c r="E109" s="5">
        <f t="shared" si="9"/>
        <v>-180</v>
      </c>
      <c r="F109" s="6" t="str">
        <f t="shared" si="10"/>
        <v/>
      </c>
      <c r="G109" s="6" t="str">
        <f t="shared" si="11"/>
        <v/>
      </c>
    </row>
    <row r="110" spans="1:7" hidden="1" x14ac:dyDescent="0.25">
      <c r="A110" s="3" t="s">
        <v>92</v>
      </c>
      <c r="B110" s="5">
        <v>4106.66</v>
      </c>
      <c r="C110" s="4"/>
      <c r="D110" s="5">
        <f t="shared" si="8"/>
        <v>4106.66</v>
      </c>
      <c r="E110" s="5">
        <f t="shared" si="9"/>
        <v>-4106.66</v>
      </c>
      <c r="F110" s="6" t="str">
        <f t="shared" si="10"/>
        <v/>
      </c>
      <c r="G110" s="6" t="str">
        <f t="shared" si="11"/>
        <v/>
      </c>
    </row>
    <row r="111" spans="1:7" hidden="1" x14ac:dyDescent="0.25">
      <c r="A111" s="3" t="s">
        <v>297</v>
      </c>
      <c r="B111" s="5">
        <v>240</v>
      </c>
      <c r="C111" s="4"/>
      <c r="D111" s="5">
        <f t="shared" si="8"/>
        <v>240</v>
      </c>
      <c r="E111" s="5">
        <f t="shared" si="9"/>
        <v>-240</v>
      </c>
      <c r="F111" s="6" t="str">
        <f t="shared" si="10"/>
        <v/>
      </c>
      <c r="G111" s="6" t="str">
        <f t="shared" si="11"/>
        <v/>
      </c>
    </row>
    <row r="112" spans="1:7" hidden="1" x14ac:dyDescent="0.25">
      <c r="A112" s="3" t="s">
        <v>93</v>
      </c>
      <c r="B112" s="5">
        <v>133.33000000000001</v>
      </c>
      <c r="C112" s="4"/>
      <c r="D112" s="5">
        <f t="shared" si="8"/>
        <v>133.33000000000001</v>
      </c>
      <c r="E112" s="5">
        <f t="shared" si="9"/>
        <v>-133.33000000000001</v>
      </c>
      <c r="F112" s="6" t="str">
        <f t="shared" si="10"/>
        <v/>
      </c>
      <c r="G112" s="6" t="str">
        <f t="shared" si="11"/>
        <v/>
      </c>
    </row>
    <row r="113" spans="1:7" hidden="1" x14ac:dyDescent="0.25">
      <c r="A113" s="3" t="s">
        <v>94</v>
      </c>
      <c r="B113" s="5">
        <v>800</v>
      </c>
      <c r="C113" s="4"/>
      <c r="D113" s="5">
        <f t="shared" si="8"/>
        <v>800</v>
      </c>
      <c r="E113" s="5">
        <f t="shared" si="9"/>
        <v>-800</v>
      </c>
      <c r="F113" s="6" t="str">
        <f t="shared" si="10"/>
        <v/>
      </c>
      <c r="G113" s="6" t="str">
        <f t="shared" si="11"/>
        <v/>
      </c>
    </row>
    <row r="114" spans="1:7" hidden="1" x14ac:dyDescent="0.25">
      <c r="A114" s="3" t="s">
        <v>166</v>
      </c>
      <c r="B114" s="4">
        <v>2400</v>
      </c>
      <c r="C114" s="4"/>
      <c r="D114" s="5">
        <f t="shared" si="8"/>
        <v>2400</v>
      </c>
      <c r="E114" s="5">
        <f t="shared" si="9"/>
        <v>-2400</v>
      </c>
      <c r="F114" s="6" t="str">
        <f t="shared" si="10"/>
        <v/>
      </c>
      <c r="G114" s="6" t="str">
        <f t="shared" si="11"/>
        <v/>
      </c>
    </row>
    <row r="115" spans="1:7" hidden="1" x14ac:dyDescent="0.25">
      <c r="A115" s="3" t="s">
        <v>95</v>
      </c>
      <c r="B115" s="5">
        <v>1340.79</v>
      </c>
      <c r="C115" s="4"/>
      <c r="D115" s="5">
        <f t="shared" si="8"/>
        <v>1340.79</v>
      </c>
      <c r="E115" s="5">
        <f t="shared" si="9"/>
        <v>-1340.79</v>
      </c>
      <c r="F115" s="6" t="str">
        <f t="shared" si="10"/>
        <v/>
      </c>
      <c r="G115" s="6" t="str">
        <f t="shared" si="11"/>
        <v/>
      </c>
    </row>
    <row r="116" spans="1:7" hidden="1" x14ac:dyDescent="0.25">
      <c r="A116" s="3" t="s">
        <v>96</v>
      </c>
      <c r="B116" s="7">
        <f>(B114)+(B115)</f>
        <v>3740.79</v>
      </c>
      <c r="C116" s="7">
        <f>(C114)+(C115)</f>
        <v>0</v>
      </c>
      <c r="D116" s="7">
        <f t="shared" si="8"/>
        <v>3740.79</v>
      </c>
      <c r="E116" s="7">
        <f t="shared" si="9"/>
        <v>-3740.79</v>
      </c>
      <c r="F116" s="8" t="str">
        <f t="shared" si="10"/>
        <v/>
      </c>
      <c r="G116" s="8" t="str">
        <f t="shared" si="11"/>
        <v/>
      </c>
    </row>
    <row r="117" spans="1:7" hidden="1" x14ac:dyDescent="0.25">
      <c r="A117" s="3" t="s">
        <v>97</v>
      </c>
      <c r="B117" s="7">
        <f>((((((((B102)+(B103))+(B104))+(B107))+(B108))+(B110))+(B112))+(B113))+(B116)+B111+B109</f>
        <v>14497.119999999999</v>
      </c>
      <c r="C117" s="7">
        <f>((((((((C102)+(C103))+(C104))+(C107))+(C108))+(C110))+(C112))+(C113))+(C116)</f>
        <v>0</v>
      </c>
      <c r="D117" s="7">
        <f t="shared" si="8"/>
        <v>14497.119999999999</v>
      </c>
      <c r="E117" s="7">
        <f t="shared" si="9"/>
        <v>-14497.119999999999</v>
      </c>
      <c r="F117" s="8" t="str">
        <f t="shared" si="10"/>
        <v/>
      </c>
      <c r="G117" s="8" t="str">
        <f t="shared" si="11"/>
        <v/>
      </c>
    </row>
    <row r="118" spans="1:7" x14ac:dyDescent="0.25">
      <c r="A118" s="3" t="s">
        <v>98</v>
      </c>
      <c r="B118" s="4"/>
      <c r="C118" s="5">
        <f>0</f>
        <v>0</v>
      </c>
      <c r="D118" s="5">
        <f t="shared" si="8"/>
        <v>0</v>
      </c>
      <c r="E118" s="5">
        <f t="shared" si="9"/>
        <v>0</v>
      </c>
      <c r="F118" s="6" t="str">
        <f t="shared" si="10"/>
        <v/>
      </c>
      <c r="G118" s="6" t="str">
        <f t="shared" si="11"/>
        <v/>
      </c>
    </row>
    <row r="119" spans="1:7" x14ac:dyDescent="0.25">
      <c r="A119" s="3" t="s">
        <v>99</v>
      </c>
      <c r="B119" s="7">
        <f>((B100)+(B117))+(B118)+B101</f>
        <v>21241.279999999999</v>
      </c>
      <c r="C119" s="7">
        <f>((C100)+(C117))+(C118)</f>
        <v>25991</v>
      </c>
      <c r="D119" s="7">
        <f t="shared" si="8"/>
        <v>-4749.7200000000012</v>
      </c>
      <c r="E119" s="7">
        <f t="shared" si="9"/>
        <v>4749.7200000000012</v>
      </c>
      <c r="F119" s="8">
        <f t="shared" si="10"/>
        <v>0.81725520372436611</v>
      </c>
      <c r="G119" s="8">
        <f t="shared" si="11"/>
        <v>0.18274479627563392</v>
      </c>
    </row>
    <row r="120" spans="1:7" x14ac:dyDescent="0.25">
      <c r="A120" s="3" t="s">
        <v>100</v>
      </c>
      <c r="B120" s="5">
        <v>1405.28</v>
      </c>
      <c r="C120" s="5">
        <f>15000</f>
        <v>15000</v>
      </c>
      <c r="D120" s="5">
        <f t="shared" si="8"/>
        <v>-13594.72</v>
      </c>
      <c r="E120" s="5">
        <f t="shared" si="9"/>
        <v>13594.72</v>
      </c>
      <c r="F120" s="6">
        <f t="shared" si="10"/>
        <v>9.3685333333333329E-2</v>
      </c>
      <c r="G120" s="6">
        <f t="shared" si="11"/>
        <v>0.9063146666666666</v>
      </c>
    </row>
    <row r="121" spans="1:7" x14ac:dyDescent="0.25">
      <c r="A121" s="3" t="s">
        <v>101</v>
      </c>
      <c r="B121" s="5">
        <v>5190.43</v>
      </c>
      <c r="C121" s="4"/>
      <c r="D121" s="5">
        <f t="shared" ref="D121:D161" si="12">(B121)-(C121)</f>
        <v>5190.43</v>
      </c>
      <c r="E121" s="5">
        <f t="shared" ref="E121:E161" si="13">(C121)-(B121)</f>
        <v>-5190.43</v>
      </c>
      <c r="F121" s="6" t="str">
        <f t="shared" ref="F121:F161" si="14">IF(C121=0,"",(B121)/(C121))</f>
        <v/>
      </c>
      <c r="G121" s="6" t="str">
        <f t="shared" ref="G121:G161" si="15">IF(C121=0,"",(E121)/(C121))</f>
        <v/>
      </c>
    </row>
    <row r="122" spans="1:7" x14ac:dyDescent="0.25">
      <c r="A122" s="3" t="s">
        <v>102</v>
      </c>
      <c r="B122" s="7">
        <f>(B120)+(B121)</f>
        <v>6595.71</v>
      </c>
      <c r="C122" s="7">
        <f>(C120)+(C121)</f>
        <v>15000</v>
      </c>
      <c r="D122" s="7">
        <f t="shared" si="12"/>
        <v>-8404.2900000000009</v>
      </c>
      <c r="E122" s="7">
        <f t="shared" si="13"/>
        <v>8404.2900000000009</v>
      </c>
      <c r="F122" s="8">
        <f t="shared" si="14"/>
        <v>0.43971399999999999</v>
      </c>
      <c r="G122" s="8">
        <f t="shared" si="15"/>
        <v>0.56028600000000006</v>
      </c>
    </row>
    <row r="123" spans="1:7" x14ac:dyDescent="0.25">
      <c r="A123" s="3" t="s">
        <v>103</v>
      </c>
      <c r="B123" s="7">
        <f>((B99)+(B119))+(B122)</f>
        <v>27836.989999999998</v>
      </c>
      <c r="C123" s="7">
        <f>((C99)+(C119))+(C122)</f>
        <v>40991</v>
      </c>
      <c r="D123" s="7">
        <f t="shared" si="12"/>
        <v>-13154.010000000002</v>
      </c>
      <c r="E123" s="7">
        <f t="shared" si="13"/>
        <v>13154.010000000002</v>
      </c>
      <c r="F123" s="8">
        <f t="shared" si="14"/>
        <v>0.67910004635163812</v>
      </c>
      <c r="G123" s="8">
        <f t="shared" si="15"/>
        <v>0.32089995364836188</v>
      </c>
    </row>
    <row r="124" spans="1:7" x14ac:dyDescent="0.25">
      <c r="A124" s="3" t="s">
        <v>104</v>
      </c>
      <c r="B124" s="4"/>
      <c r="C124" s="4"/>
      <c r="D124" s="5">
        <f t="shared" si="12"/>
        <v>0</v>
      </c>
      <c r="E124" s="5">
        <f t="shared" si="13"/>
        <v>0</v>
      </c>
      <c r="F124" s="6" t="str">
        <f t="shared" si="14"/>
        <v/>
      </c>
      <c r="G124" s="6" t="str">
        <f t="shared" si="15"/>
        <v/>
      </c>
    </row>
    <row r="125" spans="1:7" hidden="1" x14ac:dyDescent="0.25">
      <c r="A125" s="3" t="s">
        <v>105</v>
      </c>
      <c r="B125" s="4"/>
      <c r="C125" s="5">
        <f>25991</f>
        <v>25991</v>
      </c>
      <c r="D125" s="5">
        <f t="shared" si="12"/>
        <v>-25991</v>
      </c>
      <c r="E125" s="5">
        <f t="shared" si="13"/>
        <v>25991</v>
      </c>
      <c r="F125" s="6">
        <f t="shared" si="14"/>
        <v>0</v>
      </c>
      <c r="G125" s="6">
        <f t="shared" si="15"/>
        <v>1</v>
      </c>
    </row>
    <row r="126" spans="1:7" hidden="1" x14ac:dyDescent="0.25">
      <c r="A126" s="3" t="s">
        <v>254</v>
      </c>
      <c r="B126" s="4">
        <v>6744.16</v>
      </c>
      <c r="C126" s="5"/>
      <c r="D126" s="5"/>
      <c r="E126" s="5"/>
      <c r="F126" s="6"/>
      <c r="G126" s="6"/>
    </row>
    <row r="127" spans="1:7" hidden="1" x14ac:dyDescent="0.25">
      <c r="A127" s="3" t="s">
        <v>106</v>
      </c>
      <c r="B127" s="4"/>
      <c r="C127" s="4"/>
      <c r="D127" s="5">
        <f t="shared" si="12"/>
        <v>0</v>
      </c>
      <c r="E127" s="5">
        <f t="shared" si="13"/>
        <v>0</v>
      </c>
      <c r="F127" s="6" t="str">
        <f t="shared" si="14"/>
        <v/>
      </c>
      <c r="G127" s="6" t="str">
        <f t="shared" si="15"/>
        <v/>
      </c>
    </row>
    <row r="128" spans="1:7" hidden="1" x14ac:dyDescent="0.25">
      <c r="A128" s="3" t="s">
        <v>272</v>
      </c>
      <c r="B128" s="4">
        <v>240.5</v>
      </c>
      <c r="C128" s="4"/>
      <c r="D128" s="5"/>
      <c r="E128" s="5"/>
      <c r="F128" s="6"/>
      <c r="G128" s="6"/>
    </row>
    <row r="129" spans="1:7" hidden="1" x14ac:dyDescent="0.25">
      <c r="A129" s="3" t="s">
        <v>107</v>
      </c>
      <c r="B129" s="5">
        <v>1092.96</v>
      </c>
      <c r="C129" s="4"/>
      <c r="D129" s="5">
        <f t="shared" si="12"/>
        <v>1092.96</v>
      </c>
      <c r="E129" s="5">
        <f t="shared" si="13"/>
        <v>-1092.96</v>
      </c>
      <c r="F129" s="6" t="str">
        <f t="shared" si="14"/>
        <v/>
      </c>
      <c r="G129" s="6" t="str">
        <f t="shared" si="15"/>
        <v/>
      </c>
    </row>
    <row r="130" spans="1:7" hidden="1" x14ac:dyDescent="0.25">
      <c r="A130" s="3" t="s">
        <v>108</v>
      </c>
      <c r="B130" s="5">
        <v>2566.67</v>
      </c>
      <c r="C130" s="4"/>
      <c r="D130" s="5">
        <f t="shared" si="12"/>
        <v>2566.67</v>
      </c>
      <c r="E130" s="5">
        <f t="shared" si="13"/>
        <v>-2566.67</v>
      </c>
      <c r="F130" s="6" t="str">
        <f t="shared" si="14"/>
        <v/>
      </c>
      <c r="G130" s="6" t="str">
        <f t="shared" si="15"/>
        <v/>
      </c>
    </row>
    <row r="131" spans="1:7" hidden="1" x14ac:dyDescent="0.25">
      <c r="A131" s="3" t="s">
        <v>286</v>
      </c>
      <c r="B131" s="5">
        <v>360</v>
      </c>
      <c r="C131" s="4"/>
      <c r="D131" s="5"/>
      <c r="E131" s="5"/>
      <c r="F131" s="6"/>
      <c r="G131" s="6"/>
    </row>
    <row r="132" spans="1:7" hidden="1" x14ac:dyDescent="0.25">
      <c r="A132" s="3" t="s">
        <v>109</v>
      </c>
      <c r="B132" s="5">
        <v>1633.33</v>
      </c>
      <c r="C132" s="4"/>
      <c r="D132" s="5">
        <f t="shared" si="12"/>
        <v>1633.33</v>
      </c>
      <c r="E132" s="5">
        <f t="shared" si="13"/>
        <v>-1633.33</v>
      </c>
      <c r="F132" s="6" t="str">
        <f t="shared" si="14"/>
        <v/>
      </c>
      <c r="G132" s="6" t="str">
        <f t="shared" si="15"/>
        <v/>
      </c>
    </row>
    <row r="133" spans="1:7" hidden="1" x14ac:dyDescent="0.25">
      <c r="A133" s="3" t="s">
        <v>273</v>
      </c>
      <c r="B133" s="5">
        <v>180</v>
      </c>
      <c r="C133" s="4"/>
      <c r="D133" s="5">
        <f t="shared" si="12"/>
        <v>180</v>
      </c>
      <c r="E133" s="5">
        <f t="shared" si="13"/>
        <v>-180</v>
      </c>
      <c r="F133" s="6" t="str">
        <f t="shared" si="14"/>
        <v/>
      </c>
      <c r="G133" s="6" t="str">
        <f t="shared" si="15"/>
        <v/>
      </c>
    </row>
    <row r="134" spans="1:7" hidden="1" x14ac:dyDescent="0.25">
      <c r="A134" s="3" t="s">
        <v>283</v>
      </c>
      <c r="B134" s="19">
        <f>B132+B133</f>
        <v>1813.33</v>
      </c>
      <c r="C134" s="4"/>
      <c r="D134" s="5"/>
      <c r="E134" s="5"/>
      <c r="F134" s="6"/>
      <c r="G134" s="6"/>
    </row>
    <row r="135" spans="1:7" hidden="1" x14ac:dyDescent="0.25">
      <c r="A135" s="3" t="s">
        <v>110</v>
      </c>
      <c r="B135" s="5">
        <v>4106.68</v>
      </c>
      <c r="C135" s="4"/>
      <c r="D135" s="5">
        <f t="shared" si="12"/>
        <v>4106.68</v>
      </c>
      <c r="E135" s="5">
        <f t="shared" si="13"/>
        <v>-4106.68</v>
      </c>
      <c r="F135" s="6" t="str">
        <f t="shared" si="14"/>
        <v/>
      </c>
      <c r="G135" s="6" t="str">
        <f t="shared" si="15"/>
        <v/>
      </c>
    </row>
    <row r="136" spans="1:7" hidden="1" x14ac:dyDescent="0.25">
      <c r="A136" s="3" t="s">
        <v>111</v>
      </c>
      <c r="B136" s="5">
        <v>480</v>
      </c>
      <c r="C136" s="4"/>
      <c r="D136" s="5">
        <f t="shared" si="12"/>
        <v>480</v>
      </c>
      <c r="E136" s="5">
        <f t="shared" si="13"/>
        <v>-480</v>
      </c>
      <c r="F136" s="6" t="str">
        <f t="shared" si="14"/>
        <v/>
      </c>
      <c r="G136" s="6" t="str">
        <f t="shared" si="15"/>
        <v/>
      </c>
    </row>
    <row r="137" spans="1:7" hidden="1" x14ac:dyDescent="0.25">
      <c r="A137" s="3" t="s">
        <v>112</v>
      </c>
      <c r="B137" s="7">
        <f>(B135)+(B136)</f>
        <v>4586.68</v>
      </c>
      <c r="C137" s="7">
        <f>(C135)+(C136)</f>
        <v>0</v>
      </c>
      <c r="D137" s="7">
        <f t="shared" si="12"/>
        <v>4586.68</v>
      </c>
      <c r="E137" s="7">
        <f t="shared" si="13"/>
        <v>-4586.68</v>
      </c>
      <c r="F137" s="8" t="str">
        <f t="shared" si="14"/>
        <v/>
      </c>
      <c r="G137" s="8" t="str">
        <f t="shared" si="15"/>
        <v/>
      </c>
    </row>
    <row r="138" spans="1:7" hidden="1" x14ac:dyDescent="0.25">
      <c r="A138" s="3" t="s">
        <v>113</v>
      </c>
      <c r="B138" s="5">
        <v>933.33</v>
      </c>
      <c r="C138" s="4"/>
      <c r="D138" s="5">
        <f t="shared" si="12"/>
        <v>933.33</v>
      </c>
      <c r="E138" s="5">
        <f t="shared" si="13"/>
        <v>-933.33</v>
      </c>
      <c r="F138" s="6" t="str">
        <f t="shared" si="14"/>
        <v/>
      </c>
      <c r="G138" s="6" t="str">
        <f t="shared" si="15"/>
        <v/>
      </c>
    </row>
    <row r="139" spans="1:7" hidden="1" x14ac:dyDescent="0.25">
      <c r="A139" s="3" t="s">
        <v>114</v>
      </c>
      <c r="B139" s="5">
        <v>1100</v>
      </c>
      <c r="C139" s="4"/>
      <c r="D139" s="5">
        <f t="shared" si="12"/>
        <v>1100</v>
      </c>
      <c r="E139" s="5">
        <f t="shared" si="13"/>
        <v>-1100</v>
      </c>
      <c r="F139" s="6" t="str">
        <f t="shared" si="14"/>
        <v/>
      </c>
      <c r="G139" s="6" t="str">
        <f t="shared" si="15"/>
        <v/>
      </c>
    </row>
    <row r="140" spans="1:7" hidden="1" x14ac:dyDescent="0.25">
      <c r="A140" s="3" t="s">
        <v>115</v>
      </c>
      <c r="B140" s="7">
        <f>((((((B127)+(B129))+(B130))+(B132))+(B137))+(B138))+(B139)+B128+B133+B131</f>
        <v>12693.47</v>
      </c>
      <c r="C140" s="7">
        <f>((((((C127)+(C129))+(C130))+(C132))+(C137))+(C138))+(C139)</f>
        <v>0</v>
      </c>
      <c r="D140" s="7">
        <f t="shared" si="12"/>
        <v>12693.47</v>
      </c>
      <c r="E140" s="7">
        <f t="shared" si="13"/>
        <v>-12693.47</v>
      </c>
      <c r="F140" s="8" t="str">
        <f t="shared" si="14"/>
        <v/>
      </c>
      <c r="G140" s="8" t="str">
        <f t="shared" si="15"/>
        <v/>
      </c>
    </row>
    <row r="141" spans="1:7" x14ac:dyDescent="0.25">
      <c r="A141" s="3" t="s">
        <v>116</v>
      </c>
      <c r="B141" s="7">
        <f>(B125)+(B140)+B126</f>
        <v>19437.629999999997</v>
      </c>
      <c r="C141" s="7">
        <f>(C125)+(C140)</f>
        <v>25991</v>
      </c>
      <c r="D141" s="7">
        <f t="shared" si="12"/>
        <v>-6553.3700000000026</v>
      </c>
      <c r="E141" s="7">
        <f t="shared" si="13"/>
        <v>6553.3700000000026</v>
      </c>
      <c r="F141" s="8">
        <f t="shared" si="14"/>
        <v>0.74786002847139388</v>
      </c>
      <c r="G141" s="8">
        <f t="shared" si="15"/>
        <v>0.25213997152860618</v>
      </c>
    </row>
    <row r="142" spans="1:7" x14ac:dyDescent="0.25">
      <c r="A142" s="3" t="s">
        <v>117</v>
      </c>
      <c r="B142" s="4"/>
      <c r="C142" s="5">
        <f>15000</f>
        <v>15000</v>
      </c>
      <c r="D142" s="5">
        <f t="shared" si="12"/>
        <v>-15000</v>
      </c>
      <c r="E142" s="5">
        <f t="shared" si="13"/>
        <v>15000</v>
      </c>
      <c r="F142" s="6">
        <f t="shared" si="14"/>
        <v>0</v>
      </c>
      <c r="G142" s="6">
        <f t="shared" si="15"/>
        <v>1</v>
      </c>
    </row>
    <row r="143" spans="1:7" x14ac:dyDescent="0.25">
      <c r="A143" s="3" t="s">
        <v>118</v>
      </c>
      <c r="B143" s="5">
        <v>2000</v>
      </c>
      <c r="C143" s="4"/>
      <c r="D143" s="5">
        <f t="shared" si="12"/>
        <v>2000</v>
      </c>
      <c r="E143" s="5">
        <f t="shared" si="13"/>
        <v>-2000</v>
      </c>
      <c r="F143" s="6" t="str">
        <f t="shared" si="14"/>
        <v/>
      </c>
      <c r="G143" s="6" t="str">
        <f t="shared" si="15"/>
        <v/>
      </c>
    </row>
    <row r="144" spans="1:7" x14ac:dyDescent="0.25">
      <c r="A144" s="3" t="s">
        <v>119</v>
      </c>
      <c r="B144" s="7">
        <f>(B142)+(B143)</f>
        <v>2000</v>
      </c>
      <c r="C144" s="7">
        <f>(C142)+(C143)</f>
        <v>15000</v>
      </c>
      <c r="D144" s="7">
        <f t="shared" si="12"/>
        <v>-13000</v>
      </c>
      <c r="E144" s="7">
        <f t="shared" si="13"/>
        <v>13000</v>
      </c>
      <c r="F144" s="8">
        <f t="shared" si="14"/>
        <v>0.13333333333333333</v>
      </c>
      <c r="G144" s="8">
        <f t="shared" si="15"/>
        <v>0.8666666666666667</v>
      </c>
    </row>
    <row r="145" spans="1:7" x14ac:dyDescent="0.25">
      <c r="A145" s="3" t="s">
        <v>120</v>
      </c>
      <c r="B145" s="5">
        <v>17600</v>
      </c>
      <c r="C145" s="4"/>
      <c r="D145" s="5">
        <f t="shared" si="12"/>
        <v>17600</v>
      </c>
      <c r="E145" s="5">
        <f t="shared" si="13"/>
        <v>-17600</v>
      </c>
      <c r="F145" s="6" t="str">
        <f t="shared" si="14"/>
        <v/>
      </c>
      <c r="G145" s="6" t="str">
        <f t="shared" si="15"/>
        <v/>
      </c>
    </row>
    <row r="146" spans="1:7" x14ac:dyDescent="0.25">
      <c r="A146" s="3" t="s">
        <v>121</v>
      </c>
      <c r="B146" s="7">
        <f>(((B124)+(B141))+(B144))+(B145)</f>
        <v>39037.629999999997</v>
      </c>
      <c r="C146" s="7">
        <f>(((C124)+(C141))+(C144))+(C145)</f>
        <v>40991</v>
      </c>
      <c r="D146" s="7">
        <f t="shared" si="12"/>
        <v>-1953.3700000000026</v>
      </c>
      <c r="E146" s="7">
        <f t="shared" si="13"/>
        <v>1953.3700000000026</v>
      </c>
      <c r="F146" s="8">
        <f t="shared" si="14"/>
        <v>0.95234636871508371</v>
      </c>
      <c r="G146" s="8">
        <f t="shared" si="15"/>
        <v>4.7653631284916266E-2</v>
      </c>
    </row>
    <row r="147" spans="1:7" x14ac:dyDescent="0.25">
      <c r="A147" s="3" t="s">
        <v>122</v>
      </c>
      <c r="B147" s="4"/>
      <c r="C147" s="4"/>
      <c r="D147" s="5">
        <f t="shared" si="12"/>
        <v>0</v>
      </c>
      <c r="E147" s="5">
        <f t="shared" si="13"/>
        <v>0</v>
      </c>
      <c r="F147" s="6" t="str">
        <f t="shared" si="14"/>
        <v/>
      </c>
      <c r="G147" s="6" t="str">
        <f t="shared" si="15"/>
        <v/>
      </c>
    </row>
    <row r="148" spans="1:7" hidden="1" x14ac:dyDescent="0.25">
      <c r="A148" s="3" t="s">
        <v>123</v>
      </c>
      <c r="B148" s="4"/>
      <c r="C148" s="5">
        <f>25991</f>
        <v>25991</v>
      </c>
      <c r="D148" s="5">
        <f t="shared" si="12"/>
        <v>-25991</v>
      </c>
      <c r="E148" s="5">
        <f t="shared" si="13"/>
        <v>25991</v>
      </c>
      <c r="F148" s="6">
        <f t="shared" si="14"/>
        <v>0</v>
      </c>
      <c r="G148" s="6">
        <f t="shared" si="15"/>
        <v>1</v>
      </c>
    </row>
    <row r="149" spans="1:7" hidden="1" x14ac:dyDescent="0.25">
      <c r="A149" s="3" t="s">
        <v>124</v>
      </c>
      <c r="B149" s="4"/>
      <c r="C149" s="4"/>
      <c r="D149" s="5">
        <f t="shared" si="12"/>
        <v>0</v>
      </c>
      <c r="E149" s="5">
        <f t="shared" si="13"/>
        <v>0</v>
      </c>
      <c r="F149" s="6" t="str">
        <f t="shared" si="14"/>
        <v/>
      </c>
      <c r="G149" s="6" t="str">
        <f t="shared" si="15"/>
        <v/>
      </c>
    </row>
    <row r="150" spans="1:7" hidden="1" x14ac:dyDescent="0.25">
      <c r="A150" s="3" t="s">
        <v>255</v>
      </c>
      <c r="B150" s="4">
        <v>6744.16</v>
      </c>
      <c r="C150" s="4"/>
      <c r="D150" s="5"/>
      <c r="E150" s="5"/>
      <c r="F150" s="6"/>
      <c r="G150" s="6"/>
    </row>
    <row r="151" spans="1:7" hidden="1" x14ac:dyDescent="0.25">
      <c r="A151" s="3" t="s">
        <v>288</v>
      </c>
      <c r="B151" s="4">
        <v>30.5</v>
      </c>
      <c r="C151" s="4"/>
      <c r="D151" s="5"/>
      <c r="E151" s="5"/>
      <c r="F151" s="6"/>
      <c r="G151" s="6"/>
    </row>
    <row r="152" spans="1:7" hidden="1" x14ac:dyDescent="0.25">
      <c r="A152" s="3" t="s">
        <v>269</v>
      </c>
      <c r="B152" s="4">
        <v>66.67</v>
      </c>
      <c r="C152" s="4"/>
      <c r="D152" s="5"/>
      <c r="E152" s="5"/>
      <c r="F152" s="6"/>
      <c r="G152" s="6"/>
    </row>
    <row r="153" spans="1:7" hidden="1" x14ac:dyDescent="0.25">
      <c r="A153" s="3" t="s">
        <v>125</v>
      </c>
      <c r="B153" s="5">
        <v>466.66</v>
      </c>
      <c r="C153" s="4"/>
      <c r="D153" s="5">
        <f t="shared" si="12"/>
        <v>466.66</v>
      </c>
      <c r="E153" s="5">
        <f t="shared" si="13"/>
        <v>-466.66</v>
      </c>
      <c r="F153" s="6" t="str">
        <f t="shared" si="14"/>
        <v/>
      </c>
      <c r="G153" s="6" t="str">
        <f t="shared" si="15"/>
        <v/>
      </c>
    </row>
    <row r="154" spans="1:7" hidden="1" x14ac:dyDescent="0.25">
      <c r="A154" s="3" t="s">
        <v>126</v>
      </c>
      <c r="B154" s="5">
        <v>583.34</v>
      </c>
      <c r="C154" s="4"/>
      <c r="D154" s="5">
        <f t="shared" si="12"/>
        <v>583.34</v>
      </c>
      <c r="E154" s="5">
        <f t="shared" si="13"/>
        <v>-583.34</v>
      </c>
      <c r="F154" s="6" t="str">
        <f t="shared" si="14"/>
        <v/>
      </c>
      <c r="G154" s="6" t="str">
        <f t="shared" si="15"/>
        <v/>
      </c>
    </row>
    <row r="155" spans="1:7" hidden="1" x14ac:dyDescent="0.25">
      <c r="A155" s="3" t="s">
        <v>127</v>
      </c>
      <c r="B155" s="5">
        <v>120</v>
      </c>
      <c r="C155" s="4"/>
      <c r="D155" s="5">
        <f t="shared" si="12"/>
        <v>120</v>
      </c>
      <c r="E155" s="5">
        <f t="shared" si="13"/>
        <v>-120</v>
      </c>
      <c r="F155" s="6" t="str">
        <f t="shared" si="14"/>
        <v/>
      </c>
      <c r="G155" s="6" t="str">
        <f t="shared" si="15"/>
        <v/>
      </c>
    </row>
    <row r="156" spans="1:7" hidden="1" x14ac:dyDescent="0.25">
      <c r="A156" s="3" t="s">
        <v>128</v>
      </c>
      <c r="B156" s="7">
        <f>(B154)+(B155)</f>
        <v>703.34</v>
      </c>
      <c r="C156" s="7">
        <f>(C154)+(C155)</f>
        <v>0</v>
      </c>
      <c r="D156" s="7">
        <f t="shared" si="12"/>
        <v>703.34</v>
      </c>
      <c r="E156" s="7">
        <f t="shared" si="13"/>
        <v>-703.34</v>
      </c>
      <c r="F156" s="8" t="str">
        <f t="shared" si="14"/>
        <v/>
      </c>
      <c r="G156" s="8" t="str">
        <f t="shared" si="15"/>
        <v/>
      </c>
    </row>
    <row r="157" spans="1:7" hidden="1" x14ac:dyDescent="0.25">
      <c r="A157" s="3" t="s">
        <v>129</v>
      </c>
      <c r="B157" s="5">
        <v>4106.66</v>
      </c>
      <c r="C157" s="4"/>
      <c r="D157" s="5">
        <f t="shared" si="12"/>
        <v>4106.66</v>
      </c>
      <c r="E157" s="5">
        <f t="shared" si="13"/>
        <v>-4106.66</v>
      </c>
      <c r="F157" s="6" t="str">
        <f t="shared" si="14"/>
        <v/>
      </c>
      <c r="G157" s="6" t="str">
        <f t="shared" si="15"/>
        <v/>
      </c>
    </row>
    <row r="158" spans="1:7" hidden="1" x14ac:dyDescent="0.25">
      <c r="A158" s="3" t="s">
        <v>289</v>
      </c>
      <c r="B158" s="5">
        <v>240</v>
      </c>
      <c r="C158" s="4"/>
      <c r="D158" s="5">
        <f t="shared" si="12"/>
        <v>240</v>
      </c>
      <c r="E158" s="5">
        <f t="shared" si="13"/>
        <v>-240</v>
      </c>
      <c r="F158" s="6" t="str">
        <f t="shared" si="14"/>
        <v/>
      </c>
      <c r="G158" s="6" t="str">
        <f t="shared" si="15"/>
        <v/>
      </c>
    </row>
    <row r="159" spans="1:7" hidden="1" x14ac:dyDescent="0.25">
      <c r="A159" s="3" t="s">
        <v>130</v>
      </c>
      <c r="B159" s="5">
        <v>533.34</v>
      </c>
      <c r="C159" s="4"/>
      <c r="D159" s="5">
        <f t="shared" si="12"/>
        <v>533.34</v>
      </c>
      <c r="E159" s="5">
        <f t="shared" si="13"/>
        <v>-533.34</v>
      </c>
      <c r="F159" s="6" t="str">
        <f t="shared" si="14"/>
        <v/>
      </c>
      <c r="G159" s="6" t="str">
        <f t="shared" si="15"/>
        <v/>
      </c>
    </row>
    <row r="160" spans="1:7" hidden="1" x14ac:dyDescent="0.25">
      <c r="A160" s="3" t="s">
        <v>131</v>
      </c>
      <c r="B160" s="5">
        <v>500</v>
      </c>
      <c r="C160" s="4"/>
      <c r="D160" s="5">
        <f t="shared" si="12"/>
        <v>500</v>
      </c>
      <c r="E160" s="5">
        <f t="shared" si="13"/>
        <v>-500</v>
      </c>
      <c r="F160" s="6" t="str">
        <f t="shared" si="14"/>
        <v/>
      </c>
      <c r="G160" s="6" t="str">
        <f t="shared" si="15"/>
        <v/>
      </c>
    </row>
    <row r="161" spans="1:7" hidden="1" x14ac:dyDescent="0.25">
      <c r="A161" s="3" t="s">
        <v>169</v>
      </c>
      <c r="B161" s="4">
        <v>0</v>
      </c>
      <c r="C161" s="4"/>
      <c r="D161" s="5">
        <f t="shared" si="12"/>
        <v>0</v>
      </c>
      <c r="E161" s="5">
        <f t="shared" si="13"/>
        <v>0</v>
      </c>
      <c r="F161" s="6" t="str">
        <f t="shared" si="14"/>
        <v/>
      </c>
      <c r="G161" s="6" t="str">
        <f t="shared" si="15"/>
        <v/>
      </c>
    </row>
    <row r="162" spans="1:7" hidden="1" x14ac:dyDescent="0.25">
      <c r="A162" s="3" t="s">
        <v>132</v>
      </c>
      <c r="B162" s="5">
        <v>2596.4499999999998</v>
      </c>
      <c r="C162" s="4"/>
      <c r="D162" s="5">
        <f t="shared" ref="D162:D193" si="16">(B162)-(C162)</f>
        <v>2596.4499999999998</v>
      </c>
      <c r="E162" s="5">
        <f t="shared" ref="E162:E193" si="17">(C162)-(B162)</f>
        <v>-2596.4499999999998</v>
      </c>
      <c r="F162" s="6" t="str">
        <f t="shared" ref="F162:F193" si="18">IF(C162=0,"",(B162)/(C162))</f>
        <v/>
      </c>
      <c r="G162" s="6" t="str">
        <f t="shared" ref="G162:G193" si="19">IF(C162=0,"",(E162)/(C162))</f>
        <v/>
      </c>
    </row>
    <row r="163" spans="1:7" hidden="1" x14ac:dyDescent="0.25">
      <c r="A163" s="3" t="s">
        <v>133</v>
      </c>
      <c r="B163" s="7">
        <f>(B161)+(B162)</f>
        <v>2596.4499999999998</v>
      </c>
      <c r="C163" s="7">
        <f>(C161)+(C162)</f>
        <v>0</v>
      </c>
      <c r="D163" s="7">
        <f t="shared" si="16"/>
        <v>2596.4499999999998</v>
      </c>
      <c r="E163" s="7">
        <f t="shared" si="17"/>
        <v>-2596.4499999999998</v>
      </c>
      <c r="F163" s="8" t="str">
        <f t="shared" si="18"/>
        <v/>
      </c>
      <c r="G163" s="8" t="str">
        <f t="shared" si="19"/>
        <v/>
      </c>
    </row>
    <row r="164" spans="1:7" hidden="1" x14ac:dyDescent="0.25">
      <c r="A164" s="3" t="s">
        <v>134</v>
      </c>
      <c r="B164" s="7">
        <f>((((((B149)+(B153))+(B156))+(B157))+(B159))+(B160))+(B163)+B152+B158+B151</f>
        <v>9243.6200000000008</v>
      </c>
      <c r="C164" s="7">
        <f>((((((C149)+(C153))+(C156))+(C157))+(C159))+(C160))+(C163)</f>
        <v>0</v>
      </c>
      <c r="D164" s="7">
        <f t="shared" si="16"/>
        <v>9243.6200000000008</v>
      </c>
      <c r="E164" s="7">
        <f t="shared" si="17"/>
        <v>-9243.6200000000008</v>
      </c>
      <c r="F164" s="8" t="str">
        <f t="shared" si="18"/>
        <v/>
      </c>
      <c r="G164" s="8" t="str">
        <f t="shared" si="19"/>
        <v/>
      </c>
    </row>
    <row r="165" spans="1:7" x14ac:dyDescent="0.25">
      <c r="A165" s="3" t="s">
        <v>135</v>
      </c>
      <c r="B165" s="7">
        <f>(B148)+(B164)+B150</f>
        <v>15987.78</v>
      </c>
      <c r="C165" s="7">
        <f>(C148)+(C164)</f>
        <v>25991</v>
      </c>
      <c r="D165" s="7">
        <f t="shared" si="16"/>
        <v>-10003.219999999999</v>
      </c>
      <c r="E165" s="7">
        <f t="shared" si="17"/>
        <v>10003.219999999999</v>
      </c>
      <c r="F165" s="8">
        <f t="shared" si="18"/>
        <v>0.61512754414989812</v>
      </c>
      <c r="G165" s="8">
        <f t="shared" si="19"/>
        <v>0.38487245585010194</v>
      </c>
    </row>
    <row r="166" spans="1:7" x14ac:dyDescent="0.25">
      <c r="A166" s="3" t="s">
        <v>136</v>
      </c>
      <c r="B166" s="4">
        <v>2497</v>
      </c>
      <c r="C166" s="5">
        <f>15000</f>
        <v>15000</v>
      </c>
      <c r="D166" s="5">
        <f t="shared" si="16"/>
        <v>-12503</v>
      </c>
      <c r="E166" s="5">
        <f t="shared" si="17"/>
        <v>12503</v>
      </c>
      <c r="F166" s="6">
        <f t="shared" si="18"/>
        <v>0.16646666666666668</v>
      </c>
      <c r="G166" s="6">
        <f t="shared" si="19"/>
        <v>0.83353333333333335</v>
      </c>
    </row>
    <row r="167" spans="1:7" x14ac:dyDescent="0.25">
      <c r="A167" s="3" t="s">
        <v>137</v>
      </c>
      <c r="B167" s="7">
        <f>((B147)+(B165))+(B166)</f>
        <v>18484.78</v>
      </c>
      <c r="C167" s="7">
        <f>((C147)+(C165))+(C166)</f>
        <v>40991</v>
      </c>
      <c r="D167" s="7">
        <f t="shared" si="16"/>
        <v>-22506.22</v>
      </c>
      <c r="E167" s="7">
        <f t="shared" si="17"/>
        <v>22506.22</v>
      </c>
      <c r="F167" s="8">
        <f t="shared" si="18"/>
        <v>0.45094728111048765</v>
      </c>
      <c r="G167" s="8">
        <f t="shared" si="19"/>
        <v>0.54905271888951235</v>
      </c>
    </row>
    <row r="168" spans="1:7" x14ac:dyDescent="0.25">
      <c r="A168" s="3" t="s">
        <v>138</v>
      </c>
      <c r="B168" s="4"/>
      <c r="C168" s="4"/>
      <c r="D168" s="5">
        <f t="shared" si="16"/>
        <v>0</v>
      </c>
      <c r="E168" s="5">
        <f t="shared" si="17"/>
        <v>0</v>
      </c>
      <c r="F168" s="6" t="str">
        <f t="shared" si="18"/>
        <v/>
      </c>
      <c r="G168" s="6" t="str">
        <f t="shared" si="19"/>
        <v/>
      </c>
    </row>
    <row r="169" spans="1:7" x14ac:dyDescent="0.25">
      <c r="A169" s="3" t="s">
        <v>139</v>
      </c>
      <c r="B169" s="4"/>
      <c r="C169" s="4"/>
      <c r="D169" s="5">
        <f t="shared" si="16"/>
        <v>0</v>
      </c>
      <c r="E169" s="5">
        <f t="shared" si="17"/>
        <v>0</v>
      </c>
      <c r="F169" s="6" t="str">
        <f t="shared" si="18"/>
        <v/>
      </c>
      <c r="G169" s="6" t="str">
        <f t="shared" si="19"/>
        <v/>
      </c>
    </row>
    <row r="170" spans="1:7" hidden="1" x14ac:dyDescent="0.25">
      <c r="A170" s="3" t="s">
        <v>140</v>
      </c>
      <c r="B170" s="5">
        <v>9080</v>
      </c>
      <c r="C170" s="5">
        <f>14880</f>
        <v>14880</v>
      </c>
      <c r="D170" s="5">
        <f t="shared" si="16"/>
        <v>-5800</v>
      </c>
      <c r="E170" s="5">
        <f t="shared" si="17"/>
        <v>5800</v>
      </c>
      <c r="F170" s="6">
        <f t="shared" si="18"/>
        <v>0.61021505376344087</v>
      </c>
      <c r="G170" s="6">
        <f t="shared" si="19"/>
        <v>0.38978494623655913</v>
      </c>
    </row>
    <row r="171" spans="1:7" x14ac:dyDescent="0.25">
      <c r="A171" s="3" t="s">
        <v>141</v>
      </c>
      <c r="B171" s="7">
        <f>(B169)+(B170)</f>
        <v>9080</v>
      </c>
      <c r="C171" s="7">
        <f>(C169)+(C170)</f>
        <v>14880</v>
      </c>
      <c r="D171" s="7">
        <f t="shared" si="16"/>
        <v>-5800</v>
      </c>
      <c r="E171" s="7">
        <f t="shared" si="17"/>
        <v>5800</v>
      </c>
      <c r="F171" s="8">
        <f t="shared" si="18"/>
        <v>0.61021505376344087</v>
      </c>
      <c r="G171" s="8">
        <f t="shared" si="19"/>
        <v>0.38978494623655913</v>
      </c>
    </row>
    <row r="172" spans="1:7" x14ac:dyDescent="0.25">
      <c r="A172" s="3" t="s">
        <v>142</v>
      </c>
      <c r="B172" s="4"/>
      <c r="C172" s="4"/>
      <c r="D172" s="5">
        <f t="shared" si="16"/>
        <v>0</v>
      </c>
      <c r="E172" s="5">
        <f t="shared" si="17"/>
        <v>0</v>
      </c>
      <c r="F172" s="6" t="str">
        <f t="shared" si="18"/>
        <v/>
      </c>
      <c r="G172" s="6" t="str">
        <f t="shared" si="19"/>
        <v/>
      </c>
    </row>
    <row r="173" spans="1:7" x14ac:dyDescent="0.25">
      <c r="A173" s="3" t="s">
        <v>143</v>
      </c>
      <c r="B173" s="4">
        <v>3624.43</v>
      </c>
      <c r="C173" s="5">
        <f>3550</f>
        <v>3550</v>
      </c>
      <c r="D173" s="5">
        <f t="shared" si="16"/>
        <v>74.429999999999836</v>
      </c>
      <c r="E173" s="5">
        <f t="shared" si="17"/>
        <v>-74.429999999999836</v>
      </c>
      <c r="F173" s="6">
        <f t="shared" si="18"/>
        <v>1.0209661971830986</v>
      </c>
      <c r="G173" s="6">
        <f t="shared" si="19"/>
        <v>-2.0966197183098546E-2</v>
      </c>
    </row>
    <row r="174" spans="1:7" x14ac:dyDescent="0.25">
      <c r="A174" s="3" t="s">
        <v>144</v>
      </c>
      <c r="B174" s="4">
        <v>1949.41</v>
      </c>
      <c r="C174" s="5">
        <f>3550</f>
        <v>3550</v>
      </c>
      <c r="D174" s="5">
        <f t="shared" si="16"/>
        <v>-1600.59</v>
      </c>
      <c r="E174" s="5">
        <f t="shared" si="17"/>
        <v>1600.59</v>
      </c>
      <c r="F174" s="6">
        <f t="shared" si="18"/>
        <v>0.54912957746478874</v>
      </c>
      <c r="G174" s="6">
        <f t="shared" si="19"/>
        <v>0.45087042253521126</v>
      </c>
    </row>
    <row r="175" spans="1:7" x14ac:dyDescent="0.25">
      <c r="A175" s="3" t="s">
        <v>145</v>
      </c>
      <c r="B175" s="4">
        <v>-117</v>
      </c>
      <c r="C175" s="5">
        <f>3050</f>
        <v>3050</v>
      </c>
      <c r="D175" s="5">
        <f t="shared" si="16"/>
        <v>-3167</v>
      </c>
      <c r="E175" s="5">
        <f t="shared" si="17"/>
        <v>3167</v>
      </c>
      <c r="F175" s="6">
        <f t="shared" si="18"/>
        <v>-3.8360655737704918E-2</v>
      </c>
      <c r="G175" s="6">
        <f t="shared" si="19"/>
        <v>1.038360655737705</v>
      </c>
    </row>
    <row r="176" spans="1:7" x14ac:dyDescent="0.25">
      <c r="A176" s="3" t="s">
        <v>146</v>
      </c>
      <c r="B176" s="5">
        <v>14466.64</v>
      </c>
      <c r="C176" s="5">
        <f>21700</f>
        <v>21700</v>
      </c>
      <c r="D176" s="5">
        <f t="shared" si="16"/>
        <v>-7233.3600000000006</v>
      </c>
      <c r="E176" s="5">
        <f t="shared" si="17"/>
        <v>7233.3600000000006</v>
      </c>
      <c r="F176" s="6">
        <f t="shared" si="18"/>
        <v>0.66666543778801846</v>
      </c>
      <c r="G176" s="6">
        <f t="shared" si="19"/>
        <v>0.3333345622119816</v>
      </c>
    </row>
    <row r="177" spans="1:10" x14ac:dyDescent="0.25">
      <c r="A177" s="3" t="s">
        <v>147</v>
      </c>
      <c r="B177" s="5">
        <v>12017.76</v>
      </c>
      <c r="C177" s="5">
        <f>16401.59</f>
        <v>16401.59</v>
      </c>
      <c r="D177" s="5">
        <f t="shared" si="16"/>
        <v>-4383.83</v>
      </c>
      <c r="E177" s="5">
        <f t="shared" si="17"/>
        <v>4383.83</v>
      </c>
      <c r="F177" s="6">
        <f t="shared" si="18"/>
        <v>0.73271920588186878</v>
      </c>
      <c r="G177" s="6">
        <f t="shared" si="19"/>
        <v>0.26728079411813122</v>
      </c>
    </row>
    <row r="178" spans="1:10" x14ac:dyDescent="0.25">
      <c r="A178" s="3" t="s">
        <v>148</v>
      </c>
      <c r="B178" s="5">
        <v>4996.95</v>
      </c>
      <c r="C178" s="5">
        <f>15000</f>
        <v>15000</v>
      </c>
      <c r="D178" s="5">
        <f t="shared" si="16"/>
        <v>-10003.049999999999</v>
      </c>
      <c r="E178" s="5">
        <f t="shared" si="17"/>
        <v>10003.049999999999</v>
      </c>
      <c r="F178" s="6">
        <f t="shared" si="18"/>
        <v>0.33312999999999998</v>
      </c>
      <c r="G178" s="6">
        <f t="shared" si="19"/>
        <v>0.66686999999999996</v>
      </c>
    </row>
    <row r="179" spans="1:10" x14ac:dyDescent="0.25">
      <c r="A179" s="3" t="s">
        <v>149</v>
      </c>
      <c r="B179" s="7">
        <f>((((((B172)+(B173))+(B174))+(B175))+(B176))+(B177))+(B178)</f>
        <v>36938.189999999995</v>
      </c>
      <c r="C179" s="7">
        <f>((((((C172)+(C173))+(C174))+(C175))+(C176))+(C177))+(C178)</f>
        <v>63251.59</v>
      </c>
      <c r="D179" s="7">
        <f t="shared" si="16"/>
        <v>-26313.4</v>
      </c>
      <c r="E179" s="7">
        <f t="shared" si="17"/>
        <v>26313.4</v>
      </c>
      <c r="F179" s="8">
        <f t="shared" si="18"/>
        <v>0.58398832345558427</v>
      </c>
      <c r="G179" s="8">
        <f t="shared" si="19"/>
        <v>0.41601167654441579</v>
      </c>
    </row>
    <row r="180" spans="1:10" x14ac:dyDescent="0.25">
      <c r="A180" s="3" t="s">
        <v>150</v>
      </c>
      <c r="B180" s="4">
        <v>2006.63</v>
      </c>
      <c r="C180" s="5">
        <f>1025</f>
        <v>1025</v>
      </c>
      <c r="D180" s="5">
        <f t="shared" si="16"/>
        <v>981.63000000000011</v>
      </c>
      <c r="E180" s="5">
        <f t="shared" si="17"/>
        <v>-981.63000000000011</v>
      </c>
      <c r="F180" s="6">
        <f t="shared" si="18"/>
        <v>1.9576878048780488</v>
      </c>
      <c r="G180" s="6">
        <f t="shared" si="19"/>
        <v>-0.95768780487804883</v>
      </c>
    </row>
    <row r="181" spans="1:10" x14ac:dyDescent="0.25">
      <c r="A181" s="3" t="s">
        <v>151</v>
      </c>
      <c r="B181" s="7">
        <f>(((B168)+(B171))+(B179))+(B180)</f>
        <v>48024.819999999992</v>
      </c>
      <c r="C181" s="7">
        <f>(((C168)+(C171))+(C179))+(C180)</f>
        <v>79156.59</v>
      </c>
      <c r="D181" s="7">
        <f t="shared" si="16"/>
        <v>-31131.770000000004</v>
      </c>
      <c r="E181" s="7">
        <f t="shared" si="17"/>
        <v>31131.770000000004</v>
      </c>
      <c r="F181" s="8">
        <f t="shared" si="18"/>
        <v>0.60670652942477687</v>
      </c>
      <c r="G181" s="8">
        <f t="shared" si="19"/>
        <v>0.39329347057522318</v>
      </c>
    </row>
    <row r="182" spans="1:10" x14ac:dyDescent="0.25">
      <c r="A182" s="3" t="s">
        <v>152</v>
      </c>
      <c r="B182" s="4"/>
      <c r="C182" s="5">
        <f>30659.43</f>
        <v>30659.43</v>
      </c>
      <c r="D182" s="5">
        <f t="shared" si="16"/>
        <v>-30659.43</v>
      </c>
      <c r="E182" s="5">
        <f t="shared" si="17"/>
        <v>30659.43</v>
      </c>
      <c r="F182" s="6">
        <f t="shared" si="18"/>
        <v>0</v>
      </c>
      <c r="G182" s="6">
        <f t="shared" si="19"/>
        <v>1</v>
      </c>
    </row>
    <row r="183" spans="1:10" x14ac:dyDescent="0.25">
      <c r="A183" s="13" t="s">
        <v>284</v>
      </c>
      <c r="B183" s="24">
        <v>10340</v>
      </c>
      <c r="C183" s="23"/>
      <c r="D183" s="25"/>
      <c r="E183" s="22"/>
      <c r="F183" s="6"/>
      <c r="G183" s="6"/>
    </row>
    <row r="184" spans="1:10" x14ac:dyDescent="0.25">
      <c r="A184" s="13" t="s">
        <v>280</v>
      </c>
      <c r="B184" s="21">
        <f>B183</f>
        <v>10340</v>
      </c>
      <c r="C184" s="5"/>
      <c r="D184" s="5"/>
      <c r="E184" s="5"/>
      <c r="F184" s="6"/>
      <c r="G184" s="6"/>
    </row>
    <row r="185" spans="1:10" x14ac:dyDescent="0.25">
      <c r="A185" s="3" t="s">
        <v>153</v>
      </c>
      <c r="B185" s="4">
        <v>14955.59</v>
      </c>
      <c r="C185" s="5">
        <f>50000</f>
        <v>50000</v>
      </c>
      <c r="D185" s="5">
        <f t="shared" si="16"/>
        <v>-35044.410000000003</v>
      </c>
      <c r="E185" s="5">
        <f t="shared" si="17"/>
        <v>35044.410000000003</v>
      </c>
      <c r="F185" s="6">
        <f t="shared" si="18"/>
        <v>0.29911179999999998</v>
      </c>
      <c r="G185" s="6">
        <f t="shared" si="19"/>
        <v>0.70088820000000007</v>
      </c>
    </row>
    <row r="186" spans="1:10" x14ac:dyDescent="0.25">
      <c r="A186" s="13" t="s">
        <v>281</v>
      </c>
      <c r="B186" s="26">
        <f>B185</f>
        <v>14955.59</v>
      </c>
      <c r="C186" s="11"/>
      <c r="D186" s="11"/>
      <c r="E186" s="5"/>
      <c r="F186" s="6"/>
      <c r="G186" s="6"/>
    </row>
    <row r="187" spans="1:10" x14ac:dyDescent="0.25">
      <c r="A187" s="3" t="s">
        <v>154</v>
      </c>
      <c r="B187" s="4"/>
      <c r="C187" s="4"/>
      <c r="D187" s="5">
        <f t="shared" si="16"/>
        <v>0</v>
      </c>
      <c r="E187" s="5">
        <f t="shared" si="17"/>
        <v>0</v>
      </c>
      <c r="F187" s="6" t="str">
        <f t="shared" si="18"/>
        <v/>
      </c>
      <c r="G187" s="6" t="str">
        <f t="shared" si="19"/>
        <v/>
      </c>
    </row>
    <row r="188" spans="1:10" hidden="1" x14ac:dyDescent="0.25">
      <c r="A188" s="3" t="s">
        <v>155</v>
      </c>
      <c r="B188" s="5">
        <v>0</v>
      </c>
      <c r="C188" s="4"/>
      <c r="D188" s="5">
        <f t="shared" si="16"/>
        <v>0</v>
      </c>
      <c r="E188" s="5">
        <f t="shared" si="17"/>
        <v>0</v>
      </c>
      <c r="F188" s="6" t="str">
        <f t="shared" si="18"/>
        <v/>
      </c>
      <c r="G188" s="6" t="str">
        <f t="shared" si="19"/>
        <v/>
      </c>
    </row>
    <row r="189" spans="1:10" hidden="1" x14ac:dyDescent="0.25">
      <c r="A189" s="3" t="s">
        <v>156</v>
      </c>
      <c r="B189" s="5">
        <v>0</v>
      </c>
      <c r="C189" s="4"/>
      <c r="D189" s="5">
        <f t="shared" si="16"/>
        <v>0</v>
      </c>
      <c r="E189" s="5">
        <f t="shared" si="17"/>
        <v>0</v>
      </c>
      <c r="F189" s="6" t="str">
        <f t="shared" si="18"/>
        <v/>
      </c>
      <c r="G189" s="6" t="str">
        <f t="shared" si="19"/>
        <v/>
      </c>
    </row>
    <row r="190" spans="1:10" x14ac:dyDescent="0.25">
      <c r="A190" s="3" t="s">
        <v>157</v>
      </c>
      <c r="B190" s="7">
        <f>((B187)+(B188))+(B189)</f>
        <v>0</v>
      </c>
      <c r="C190" s="7">
        <f>((C187)+(C188))+(C189)</f>
        <v>0</v>
      </c>
      <c r="D190" s="7">
        <f t="shared" si="16"/>
        <v>0</v>
      </c>
      <c r="E190" s="7">
        <f t="shared" si="17"/>
        <v>0</v>
      </c>
      <c r="F190" s="8" t="str">
        <f t="shared" si="18"/>
        <v/>
      </c>
      <c r="G190" s="8" t="str">
        <f t="shared" si="19"/>
        <v/>
      </c>
    </row>
    <row r="191" spans="1:10" x14ac:dyDescent="0.25">
      <c r="A191" s="3" t="s">
        <v>158</v>
      </c>
      <c r="B191" s="7">
        <f>(((((((B98)+(B123))+(B146))+(B167))+(B181))+(B182))+(B185))+(B190)+B184</f>
        <v>230058.43999999997</v>
      </c>
      <c r="C191" s="7">
        <f>(((((((C98)+(C123))+(C146))+(C167))+(C181))+(C182))+(C185))+(C190)</f>
        <v>351336.01999999996</v>
      </c>
      <c r="D191" s="7">
        <f t="shared" si="16"/>
        <v>-121277.57999999999</v>
      </c>
      <c r="E191" s="7">
        <f t="shared" si="17"/>
        <v>121277.57999999999</v>
      </c>
      <c r="F191" s="8">
        <f t="shared" si="18"/>
        <v>0.65481028674486608</v>
      </c>
      <c r="G191" s="8">
        <f t="shared" si="19"/>
        <v>0.34518971325513392</v>
      </c>
    </row>
    <row r="192" spans="1:10" x14ac:dyDescent="0.25">
      <c r="A192" s="3" t="s">
        <v>159</v>
      </c>
      <c r="B192" s="7">
        <f>(B82)-(B191)</f>
        <v>49246.310000000027</v>
      </c>
      <c r="C192" s="7">
        <f>(C82)-(C191)</f>
        <v>-43356.589999999967</v>
      </c>
      <c r="D192" s="7">
        <f t="shared" si="16"/>
        <v>92602.9</v>
      </c>
      <c r="E192" s="7">
        <f t="shared" si="17"/>
        <v>-92602.9</v>
      </c>
      <c r="F192" s="8">
        <f t="shared" si="18"/>
        <v>-1.1358437091108886</v>
      </c>
      <c r="G192" s="8">
        <f t="shared" si="19"/>
        <v>2.1358437091108886</v>
      </c>
      <c r="J192">
        <f>196575.34-196631.7</f>
        <v>-56.360000000015134</v>
      </c>
    </row>
    <row r="193" spans="1:7" x14ac:dyDescent="0.25">
      <c r="A193" s="3" t="s">
        <v>160</v>
      </c>
      <c r="B193" s="9">
        <f>(B192)+(0)</f>
        <v>49246.310000000027</v>
      </c>
      <c r="C193" s="9">
        <f>(C192)+(0)</f>
        <v>-43356.589999999967</v>
      </c>
      <c r="D193" s="9">
        <f t="shared" si="16"/>
        <v>92602.9</v>
      </c>
      <c r="E193" s="9">
        <f t="shared" si="17"/>
        <v>-92602.9</v>
      </c>
      <c r="F193" s="10">
        <f t="shared" si="18"/>
        <v>-1.1358437091108886</v>
      </c>
      <c r="G193" s="10">
        <f t="shared" si="19"/>
        <v>2.1358437091108886</v>
      </c>
    </row>
  </sheetData>
  <mergeCells count="3">
    <mergeCell ref="B4:G4"/>
    <mergeCell ref="A1:G1"/>
    <mergeCell ref="A2:G2"/>
  </mergeCells>
  <pageMargins left="0.7" right="0.7" top="0.75" bottom="0.75" header="0.3" footer="0.3"/>
  <pageSetup scale="63" fitToHeight="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CB570-D168-4906-8300-B64AE889F860}">
  <dimension ref="A1:B88"/>
  <sheetViews>
    <sheetView tabSelected="1" topLeftCell="A73" workbookViewId="0">
      <selection activeCell="B87" sqref="B87"/>
    </sheetView>
  </sheetViews>
  <sheetFormatPr defaultRowHeight="15" x14ac:dyDescent="0.25"/>
  <cols>
    <col min="1" max="1" width="47.28515625" customWidth="1"/>
    <col min="2" max="2" width="31.85546875" customWidth="1"/>
  </cols>
  <sheetData>
    <row r="1" spans="1:2" ht="18" x14ac:dyDescent="0.25">
      <c r="A1" s="28" t="s">
        <v>162</v>
      </c>
      <c r="B1" s="33"/>
    </row>
    <row r="2" spans="1:2" ht="18" x14ac:dyDescent="0.25">
      <c r="A2" s="28" t="s">
        <v>171</v>
      </c>
      <c r="B2" s="33"/>
    </row>
    <row r="3" spans="1:2" x14ac:dyDescent="0.25">
      <c r="A3" s="35" t="s">
        <v>303</v>
      </c>
      <c r="B3" s="33"/>
    </row>
    <row r="5" spans="1:2" ht="15" customHeight="1" x14ac:dyDescent="0.25">
      <c r="A5" s="1"/>
      <c r="B5" s="2" t="s">
        <v>0</v>
      </c>
    </row>
    <row r="6" spans="1:2" ht="15" customHeight="1" x14ac:dyDescent="0.25">
      <c r="A6" s="3" t="s">
        <v>172</v>
      </c>
      <c r="B6" s="4"/>
    </row>
    <row r="7" spans="1:2" ht="15" customHeight="1" x14ac:dyDescent="0.25">
      <c r="A7" s="3" t="s">
        <v>173</v>
      </c>
      <c r="B7" s="4"/>
    </row>
    <row r="8" spans="1:2" ht="15" customHeight="1" x14ac:dyDescent="0.25">
      <c r="A8" s="3" t="s">
        <v>174</v>
      </c>
      <c r="B8" s="4"/>
    </row>
    <row r="9" spans="1:2" ht="15" customHeight="1" x14ac:dyDescent="0.25">
      <c r="A9" s="3" t="s">
        <v>175</v>
      </c>
      <c r="B9" s="5">
        <v>32864.879999999997</v>
      </c>
    </row>
    <row r="10" spans="1:2" ht="15" customHeight="1" x14ac:dyDescent="0.25">
      <c r="A10" s="3" t="s">
        <v>176</v>
      </c>
      <c r="B10" s="5">
        <v>163191.01999999999</v>
      </c>
    </row>
    <row r="11" spans="1:2" ht="15" customHeight="1" x14ac:dyDescent="0.25">
      <c r="A11" s="3" t="s">
        <v>177</v>
      </c>
      <c r="B11" s="5">
        <f>0</f>
        <v>0</v>
      </c>
    </row>
    <row r="12" spans="1:2" ht="15" customHeight="1" x14ac:dyDescent="0.25">
      <c r="A12" s="3" t="s">
        <v>178</v>
      </c>
      <c r="B12" s="5">
        <v>216069.51</v>
      </c>
    </row>
    <row r="13" spans="1:2" ht="15" customHeight="1" x14ac:dyDescent="0.25">
      <c r="A13" s="3" t="s">
        <v>179</v>
      </c>
      <c r="B13" s="9">
        <f>(B11)+(B12)</f>
        <v>216069.51</v>
      </c>
    </row>
    <row r="14" spans="1:2" ht="15" customHeight="1" x14ac:dyDescent="0.25">
      <c r="A14" s="3" t="s">
        <v>180</v>
      </c>
      <c r="B14" s="5">
        <v>187238.51</v>
      </c>
    </row>
    <row r="15" spans="1:2" ht="15" customHeight="1" x14ac:dyDescent="0.25">
      <c r="A15" s="3" t="s">
        <v>181</v>
      </c>
      <c r="B15" s="5">
        <v>108726.59</v>
      </c>
    </row>
    <row r="16" spans="1:2" ht="15" customHeight="1" x14ac:dyDescent="0.25">
      <c r="A16" s="3" t="s">
        <v>182</v>
      </c>
      <c r="B16" s="5">
        <f>10500</f>
        <v>10500</v>
      </c>
    </row>
    <row r="17" spans="1:2" ht="15" customHeight="1" x14ac:dyDescent="0.25">
      <c r="A17" s="3" t="s">
        <v>183</v>
      </c>
      <c r="B17" s="5">
        <v>6568.8</v>
      </c>
    </row>
    <row r="18" spans="1:2" ht="15" customHeight="1" x14ac:dyDescent="0.25">
      <c r="A18" s="3" t="s">
        <v>184</v>
      </c>
      <c r="B18" s="5">
        <v>14225.99</v>
      </c>
    </row>
    <row r="19" spans="1:2" ht="15" customHeight="1" x14ac:dyDescent="0.25">
      <c r="A19" s="3" t="s">
        <v>185</v>
      </c>
      <c r="B19" s="5">
        <v>52437.78</v>
      </c>
    </row>
    <row r="20" spans="1:2" ht="15" customHeight="1" x14ac:dyDescent="0.25">
      <c r="A20" s="3" t="s">
        <v>186</v>
      </c>
      <c r="B20" s="9">
        <f>((((((((B9)+(B10))+(B13))+(B14))+(B15))+(B16))+(B17))+(B18))+(B19)</f>
        <v>791823.08000000007</v>
      </c>
    </row>
    <row r="21" spans="1:2" ht="15" customHeight="1" x14ac:dyDescent="0.25">
      <c r="A21" s="3" t="s">
        <v>187</v>
      </c>
      <c r="B21" s="9">
        <f>B20</f>
        <v>791823.08000000007</v>
      </c>
    </row>
    <row r="22" spans="1:2" ht="15" customHeight="1" x14ac:dyDescent="0.25">
      <c r="A22" s="3" t="s">
        <v>188</v>
      </c>
      <c r="B22" s="4"/>
    </row>
    <row r="23" spans="1:2" ht="15" customHeight="1" x14ac:dyDescent="0.25">
      <c r="A23" s="3" t="s">
        <v>189</v>
      </c>
      <c r="B23" s="5">
        <f>0</f>
        <v>0</v>
      </c>
    </row>
    <row r="24" spans="1:2" ht="15" customHeight="1" x14ac:dyDescent="0.25">
      <c r="A24" s="3" t="s">
        <v>190</v>
      </c>
      <c r="B24" s="5">
        <f>4867.17</f>
        <v>4867.17</v>
      </c>
    </row>
    <row r="25" spans="1:2" ht="15" customHeight="1" x14ac:dyDescent="0.25">
      <c r="A25" s="3" t="s">
        <v>191</v>
      </c>
      <c r="B25" s="5">
        <f>75000</f>
        <v>75000</v>
      </c>
    </row>
    <row r="26" spans="1:2" ht="15" customHeight="1" x14ac:dyDescent="0.25">
      <c r="A26" s="3" t="s">
        <v>192</v>
      </c>
      <c r="B26" s="5">
        <f>231450</f>
        <v>231450</v>
      </c>
    </row>
    <row r="27" spans="1:2" ht="15" customHeight="1" x14ac:dyDescent="0.25">
      <c r="A27" s="3" t="s">
        <v>193</v>
      </c>
      <c r="B27" s="9">
        <f>(((B23)+(B24))+(B25))+(B26)</f>
        <v>311317.17</v>
      </c>
    </row>
    <row r="28" spans="1:2" ht="15" customHeight="1" x14ac:dyDescent="0.25">
      <c r="A28" s="3" t="s">
        <v>194</v>
      </c>
      <c r="B28" s="9">
        <f>B27</f>
        <v>311317.17</v>
      </c>
    </row>
    <row r="29" spans="1:2" ht="15" customHeight="1" x14ac:dyDescent="0.25">
      <c r="A29" s="3" t="s">
        <v>195</v>
      </c>
      <c r="B29" s="9">
        <f>(B21)+(B28)</f>
        <v>1103140.25</v>
      </c>
    </row>
    <row r="30" spans="1:2" ht="15" customHeight="1" x14ac:dyDescent="0.25">
      <c r="A30" s="3" t="s">
        <v>196</v>
      </c>
      <c r="B30" s="4"/>
    </row>
    <row r="31" spans="1:2" ht="15" customHeight="1" x14ac:dyDescent="0.25">
      <c r="A31" s="3" t="s">
        <v>197</v>
      </c>
      <c r="B31" s="4"/>
    </row>
    <row r="32" spans="1:2" ht="15" customHeight="1" x14ac:dyDescent="0.25">
      <c r="A32" s="3" t="s">
        <v>198</v>
      </c>
      <c r="B32" s="4"/>
    </row>
    <row r="33" spans="1:2" ht="15" customHeight="1" x14ac:dyDescent="0.25">
      <c r="A33" s="3" t="s">
        <v>199</v>
      </c>
      <c r="B33" s="4"/>
    </row>
    <row r="34" spans="1:2" ht="15" customHeight="1" x14ac:dyDescent="0.25">
      <c r="A34" s="3" t="s">
        <v>200</v>
      </c>
      <c r="B34" s="5">
        <f>0</f>
        <v>0</v>
      </c>
    </row>
    <row r="35" spans="1:2" ht="15" customHeight="1" x14ac:dyDescent="0.25">
      <c r="A35" s="3" t="s">
        <v>201</v>
      </c>
      <c r="B35" s="5">
        <f>0</f>
        <v>0</v>
      </c>
    </row>
    <row r="36" spans="1:2" ht="15" customHeight="1" x14ac:dyDescent="0.25">
      <c r="A36" s="3" t="s">
        <v>202</v>
      </c>
      <c r="B36" s="5">
        <v>3810.79</v>
      </c>
    </row>
    <row r="37" spans="1:2" ht="15" customHeight="1" x14ac:dyDescent="0.25">
      <c r="A37" s="3" t="s">
        <v>203</v>
      </c>
      <c r="B37" s="5">
        <v>22292.27</v>
      </c>
    </row>
    <row r="38" spans="1:2" ht="15" customHeight="1" x14ac:dyDescent="0.25">
      <c r="A38" s="3" t="s">
        <v>204</v>
      </c>
      <c r="B38" s="5">
        <v>11796.69</v>
      </c>
    </row>
    <row r="39" spans="1:2" ht="15" customHeight="1" x14ac:dyDescent="0.25">
      <c r="A39" s="3" t="s">
        <v>205</v>
      </c>
      <c r="B39" s="9">
        <f>(((B35)+(B36))+(B37))+(B38)</f>
        <v>37899.75</v>
      </c>
    </row>
    <row r="40" spans="1:2" ht="15" customHeight="1" x14ac:dyDescent="0.25">
      <c r="A40" s="3" t="s">
        <v>206</v>
      </c>
      <c r="B40" s="5">
        <f>0</f>
        <v>0</v>
      </c>
    </row>
    <row r="41" spans="1:2" ht="15" customHeight="1" x14ac:dyDescent="0.25">
      <c r="A41" s="3" t="s">
        <v>207</v>
      </c>
      <c r="B41" s="5">
        <f>55</f>
        <v>55</v>
      </c>
    </row>
    <row r="42" spans="1:2" ht="15" customHeight="1" x14ac:dyDescent="0.25">
      <c r="A42" s="3" t="s">
        <v>208</v>
      </c>
      <c r="B42" s="5">
        <f>1500</f>
        <v>1500</v>
      </c>
    </row>
    <row r="43" spans="1:2" ht="15" customHeight="1" x14ac:dyDescent="0.25">
      <c r="A43" s="3" t="s">
        <v>209</v>
      </c>
      <c r="B43" s="9">
        <f>((B40)+(B41))+(B42)</f>
        <v>1555</v>
      </c>
    </row>
    <row r="44" spans="1:2" ht="15" customHeight="1" x14ac:dyDescent="0.25">
      <c r="A44" s="3" t="s">
        <v>210</v>
      </c>
      <c r="B44" s="5">
        <f>0</f>
        <v>0</v>
      </c>
    </row>
    <row r="45" spans="1:2" ht="15" customHeight="1" x14ac:dyDescent="0.25">
      <c r="A45" s="3" t="s">
        <v>274</v>
      </c>
      <c r="B45" s="5">
        <v>0</v>
      </c>
    </row>
    <row r="46" spans="1:2" ht="15" customHeight="1" x14ac:dyDescent="0.25">
      <c r="A46" s="3" t="s">
        <v>211</v>
      </c>
      <c r="B46" s="5">
        <v>10214.719999999999</v>
      </c>
    </row>
    <row r="47" spans="1:2" ht="15" customHeight="1" x14ac:dyDescent="0.25">
      <c r="A47" s="3" t="s">
        <v>212</v>
      </c>
      <c r="B47" s="5">
        <v>14530.27</v>
      </c>
    </row>
    <row r="48" spans="1:2" ht="15" customHeight="1" x14ac:dyDescent="0.25">
      <c r="A48" s="3" t="s">
        <v>213</v>
      </c>
      <c r="B48" s="5">
        <v>13616.09</v>
      </c>
    </row>
    <row r="49" spans="1:2" ht="15" customHeight="1" x14ac:dyDescent="0.25">
      <c r="A49" s="3" t="s">
        <v>214</v>
      </c>
      <c r="B49" s="5">
        <f>0.3</f>
        <v>0.3</v>
      </c>
    </row>
    <row r="50" spans="1:2" ht="15" customHeight="1" x14ac:dyDescent="0.25">
      <c r="A50" s="3" t="s">
        <v>215</v>
      </c>
      <c r="B50" s="5">
        <v>41884.44</v>
      </c>
    </row>
    <row r="51" spans="1:2" ht="15" customHeight="1" x14ac:dyDescent="0.25">
      <c r="A51" s="3" t="s">
        <v>216</v>
      </c>
      <c r="B51" s="5">
        <v>42.82</v>
      </c>
    </row>
    <row r="52" spans="1:2" ht="15" customHeight="1" x14ac:dyDescent="0.25">
      <c r="A52" s="3" t="s">
        <v>217</v>
      </c>
      <c r="B52" s="5">
        <v>61300.66</v>
      </c>
    </row>
    <row r="53" spans="1:2" ht="15" customHeight="1" x14ac:dyDescent="0.25">
      <c r="A53" s="3" t="s">
        <v>218</v>
      </c>
      <c r="B53" s="5">
        <f>3316.55</f>
        <v>3316.55</v>
      </c>
    </row>
    <row r="54" spans="1:2" ht="15" customHeight="1" x14ac:dyDescent="0.25">
      <c r="A54" s="3" t="s">
        <v>219</v>
      </c>
      <c r="B54" s="5">
        <f>1976.6</f>
        <v>1976.6</v>
      </c>
    </row>
    <row r="55" spans="1:2" ht="15" customHeight="1" x14ac:dyDescent="0.25">
      <c r="A55" s="3" t="s">
        <v>220</v>
      </c>
      <c r="B55" s="5">
        <v>4047.59</v>
      </c>
    </row>
    <row r="56" spans="1:2" ht="15" customHeight="1" x14ac:dyDescent="0.25">
      <c r="A56" s="3" t="s">
        <v>221</v>
      </c>
      <c r="B56" s="5">
        <v>9766.7999999999993</v>
      </c>
    </row>
    <row r="57" spans="1:2" ht="15" customHeight="1" x14ac:dyDescent="0.25">
      <c r="A57" s="3" t="s">
        <v>304</v>
      </c>
      <c r="B57" s="5">
        <v>10000</v>
      </c>
    </row>
    <row r="58" spans="1:2" ht="15" customHeight="1" x14ac:dyDescent="0.25">
      <c r="A58" s="3" t="s">
        <v>222</v>
      </c>
      <c r="B58" s="9">
        <f>(((((((((((B44)+(B46))+(B47))+(B48))+(B49))+(B50))+(B51))+(B52))+(B53))+(B54))+(B55))+(B56)+B45+B57</f>
        <v>170696.84</v>
      </c>
    </row>
    <row r="59" spans="1:2" ht="15" customHeight="1" x14ac:dyDescent="0.25">
      <c r="A59" s="3" t="s">
        <v>223</v>
      </c>
      <c r="B59" s="9">
        <f>(((B34)+(B39))+(B43))+(B58)</f>
        <v>210151.59</v>
      </c>
    </row>
    <row r="60" spans="1:2" ht="15" customHeight="1" x14ac:dyDescent="0.25">
      <c r="A60" s="3" t="s">
        <v>224</v>
      </c>
      <c r="B60" s="5">
        <f>0</f>
        <v>0</v>
      </c>
    </row>
    <row r="61" spans="1:2" ht="15" customHeight="1" x14ac:dyDescent="0.25">
      <c r="A61" s="3" t="s">
        <v>225</v>
      </c>
      <c r="B61" s="5">
        <v>114.1</v>
      </c>
    </row>
    <row r="62" spans="1:2" ht="15" hidden="1" customHeight="1" x14ac:dyDescent="0.25">
      <c r="A62" s="3" t="s">
        <v>226</v>
      </c>
      <c r="B62" s="5">
        <v>-1213.24</v>
      </c>
    </row>
    <row r="63" spans="1:2" ht="15" hidden="1" customHeight="1" x14ac:dyDescent="0.25">
      <c r="A63" s="3" t="s">
        <v>227</v>
      </c>
      <c r="B63" s="5">
        <f>1213.24</f>
        <v>1213.24</v>
      </c>
    </row>
    <row r="64" spans="1:2" ht="15" customHeight="1" x14ac:dyDescent="0.25">
      <c r="A64" s="3" t="s">
        <v>228</v>
      </c>
      <c r="B64" s="9">
        <f>(B62)+(B63)</f>
        <v>0</v>
      </c>
    </row>
    <row r="65" spans="1:2" ht="15" hidden="1" customHeight="1" x14ac:dyDescent="0.25">
      <c r="A65" s="3" t="s">
        <v>229</v>
      </c>
      <c r="B65" s="5">
        <f>-1680</f>
        <v>-1680</v>
      </c>
    </row>
    <row r="66" spans="1:2" ht="15.75" hidden="1" customHeight="1" x14ac:dyDescent="0.25">
      <c r="A66" s="3" t="s">
        <v>230</v>
      </c>
      <c r="B66" s="5">
        <f>1680</f>
        <v>1680</v>
      </c>
    </row>
    <row r="67" spans="1:2" ht="15" customHeight="1" x14ac:dyDescent="0.25">
      <c r="A67" s="3" t="s">
        <v>231</v>
      </c>
      <c r="B67" s="9">
        <f>(B65)+(B66)</f>
        <v>0</v>
      </c>
    </row>
    <row r="68" spans="1:2" ht="15" customHeight="1" x14ac:dyDescent="0.25">
      <c r="A68" s="3" t="s">
        <v>232</v>
      </c>
      <c r="B68" s="5">
        <v>1324.15</v>
      </c>
    </row>
    <row r="69" spans="1:2" ht="15" customHeight="1" x14ac:dyDescent="0.25">
      <c r="A69" s="3" t="s">
        <v>233</v>
      </c>
      <c r="B69" s="5">
        <f>198.47</f>
        <v>198.47</v>
      </c>
    </row>
    <row r="70" spans="1:2" ht="15" customHeight="1" x14ac:dyDescent="0.25">
      <c r="A70" s="3" t="s">
        <v>234</v>
      </c>
      <c r="B70" s="9">
        <f>(((((B60)+(B61))+(B64))+(B67))+(B68))+(B69)</f>
        <v>1636.72</v>
      </c>
    </row>
    <row r="71" spans="1:2" ht="15" customHeight="1" x14ac:dyDescent="0.25">
      <c r="A71" s="3" t="s">
        <v>235</v>
      </c>
      <c r="B71" s="9">
        <f>(B59)+(B70)</f>
        <v>211788.31</v>
      </c>
    </row>
    <row r="72" spans="1:2" ht="15" customHeight="1" x14ac:dyDescent="0.25">
      <c r="A72" s="3" t="s">
        <v>236</v>
      </c>
      <c r="B72" s="9">
        <f>B71</f>
        <v>211788.31</v>
      </c>
    </row>
    <row r="73" spans="1:2" ht="15" customHeight="1" x14ac:dyDescent="0.25">
      <c r="A73" s="3" t="s">
        <v>237</v>
      </c>
      <c r="B73" s="9">
        <f>B72</f>
        <v>211788.31</v>
      </c>
    </row>
    <row r="74" spans="1:2" ht="15" customHeight="1" x14ac:dyDescent="0.25">
      <c r="A74" s="3" t="s">
        <v>238</v>
      </c>
      <c r="B74" s="4"/>
    </row>
    <row r="75" spans="1:2" ht="15" customHeight="1" x14ac:dyDescent="0.25">
      <c r="A75" s="3" t="s">
        <v>239</v>
      </c>
      <c r="B75" s="5">
        <f>0</f>
        <v>0</v>
      </c>
    </row>
    <row r="76" spans="1:2" ht="15" customHeight="1" x14ac:dyDescent="0.25">
      <c r="A76" s="3" t="s">
        <v>240</v>
      </c>
      <c r="B76" s="5">
        <f>17494.97</f>
        <v>17494.97</v>
      </c>
    </row>
    <row r="77" spans="1:2" ht="15" customHeight="1" x14ac:dyDescent="0.25">
      <c r="A77" s="3" t="s">
        <v>241</v>
      </c>
      <c r="B77" s="5">
        <f>65714.64</f>
        <v>65714.64</v>
      </c>
    </row>
    <row r="78" spans="1:2" ht="15" customHeight="1" x14ac:dyDescent="0.25">
      <c r="A78" s="3" t="s">
        <v>242</v>
      </c>
      <c r="B78" s="5">
        <f>0</f>
        <v>0</v>
      </c>
    </row>
    <row r="79" spans="1:2" ht="15" customHeight="1" x14ac:dyDescent="0.25">
      <c r="A79" s="3" t="s">
        <v>243</v>
      </c>
      <c r="B79" s="5">
        <v>14800.01</v>
      </c>
    </row>
    <row r="80" spans="1:2" ht="15" customHeight="1" x14ac:dyDescent="0.25">
      <c r="A80" s="3" t="s">
        <v>244</v>
      </c>
      <c r="B80" s="5">
        <f>260558.03</f>
        <v>260558.03</v>
      </c>
    </row>
    <row r="81" spans="1:2" ht="15" customHeight="1" x14ac:dyDescent="0.25">
      <c r="A81" s="3" t="s">
        <v>245</v>
      </c>
      <c r="B81" s="9">
        <f>((B78)+(B79))+(B80)</f>
        <v>275358.03999999998</v>
      </c>
    </row>
    <row r="82" spans="1:2" ht="15" customHeight="1" x14ac:dyDescent="0.25">
      <c r="A82" s="3" t="s">
        <v>246</v>
      </c>
      <c r="B82" s="5">
        <f>48708.46</f>
        <v>48708.46</v>
      </c>
    </row>
    <row r="83" spans="1:2" ht="15" customHeight="1" x14ac:dyDescent="0.25">
      <c r="A83" s="3" t="s">
        <v>247</v>
      </c>
      <c r="B83" s="9">
        <f>((((B75)+(B76))+(B77))+(B81))+(B82)</f>
        <v>407276.11</v>
      </c>
    </row>
    <row r="84" spans="1:2" ht="15" customHeight="1" x14ac:dyDescent="0.25">
      <c r="A84" s="3" t="s">
        <v>248</v>
      </c>
      <c r="B84" s="5">
        <f>353958.44</f>
        <v>353958.44</v>
      </c>
    </row>
    <row r="85" spans="1:2" ht="15" customHeight="1" x14ac:dyDescent="0.25">
      <c r="A85" s="3" t="s">
        <v>249</v>
      </c>
      <c r="B85" s="5">
        <f>80871.08</f>
        <v>80871.08</v>
      </c>
    </row>
    <row r="86" spans="1:2" ht="15" customHeight="1" x14ac:dyDescent="0.25">
      <c r="A86" s="3" t="s">
        <v>250</v>
      </c>
      <c r="B86" s="5">
        <v>49246.31</v>
      </c>
    </row>
    <row r="87" spans="1:2" ht="15" customHeight="1" x14ac:dyDescent="0.25">
      <c r="A87" s="3" t="s">
        <v>251</v>
      </c>
      <c r="B87" s="9">
        <f>(((B83)+(B84))+(B85))+(B86)</f>
        <v>891351.94</v>
      </c>
    </row>
    <row r="88" spans="1:2" ht="15" customHeight="1" x14ac:dyDescent="0.25">
      <c r="A88" s="3" t="s">
        <v>252</v>
      </c>
      <c r="B88" s="9">
        <f>(B73)+(B87)</f>
        <v>1103140.25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Report</vt:lpstr>
      <vt:lpstr>Year to Date Report</vt:lpstr>
      <vt:lpstr>Balance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Glenda Rice</cp:lastModifiedBy>
  <cp:lastPrinted>2024-09-08T20:00:07Z</cp:lastPrinted>
  <dcterms:created xsi:type="dcterms:W3CDTF">2024-02-10T19:34:57Z</dcterms:created>
  <dcterms:modified xsi:type="dcterms:W3CDTF">2024-09-08T20:00:11Z</dcterms:modified>
</cp:coreProperties>
</file>